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omments2.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codeName="{372AB895-14C1-FC20-EB20-F1B4BCFD95AE}"/>
  <workbookPr codeName="ThisWorkbook"/>
  <mc:AlternateContent xmlns:mc="http://schemas.openxmlformats.org/markup-compatibility/2006">
    <mc:Choice Requires="x15">
      <x15ac:absPath xmlns:x15ac="http://schemas.microsoft.com/office/spreadsheetml/2010/11/ac" url="C:\Users\jmatusg\Desktop\PDA COYHAIQUE\Control de avance PPPF-PDA\Reportes anuales\Reporte 2024\"/>
    </mc:Choice>
  </mc:AlternateContent>
  <xr:revisionPtr revIDLastSave="0" documentId="8_{6BB34489-9A04-4876-9C7D-058FCFF79A27}" xr6:coauthVersionLast="47" xr6:coauthVersionMax="47" xr10:uidLastSave="{00000000-0000-0000-0000-000000000000}"/>
  <workbookProtection workbookAlgorithmName="SHA-512" workbookHashValue="WCc4+I9Vmw8AqK0NfGn1DI2WqSyDH4sh8GvnIXTHajJv/BBcq3lL+OVy+gNu+TQwQWPaMVWp2QejMLR2UX77Cg==" workbookSaltValue="iRmYsvLpU4H3UdF7pwwBIA==" workbookSpinCount="100000" lockStructure="1"/>
  <bookViews>
    <workbookView xWindow="28680" yWindow="-120" windowWidth="24240" windowHeight="13140" activeTab="6" xr2:uid="{00000000-000D-0000-FFFF-FFFF00000000}"/>
  </bookViews>
  <sheets>
    <sheet name="INSTRUCCIONES" sheetId="7" r:id="rId1"/>
    <sheet name="MATERIALES" sheetId="18" r:id="rId2"/>
    <sheet name="Seccion1" sheetId="14" r:id="rId3"/>
    <sheet name="Seccion2" sheetId="16" r:id="rId4"/>
    <sheet name="CÁLCULOS" sheetId="6" state="hidden" r:id="rId5"/>
    <sheet name="Aux" sheetId="2" state="hidden" r:id="rId6"/>
    <sheet name="ANEXO CÁLCULOS" sheetId="11" r:id="rId7"/>
  </sheets>
  <definedNames>
    <definedName name="_xlnm.Print_Area" localSheetId="2">Seccion1!$A$2:$N$124</definedName>
    <definedName name="_xlnm.Print_Area" localSheetId="3">Seccion2!$A$2:$N$124</definedName>
    <definedName name="Capas_AT1_C1" localSheetId="4">CÁLCULOS!$B$21</definedName>
    <definedName name="Capas_AT1_C2" localSheetId="4">CÁLCULOS!$BG$21</definedName>
    <definedName name="Capas_AT2_C1" localSheetId="4">CÁLCULOS!$B$48</definedName>
    <definedName name="Capas_AT2_C2" localSheetId="4">CÁLCULOS!$BG$48</definedName>
    <definedName name="Capas_VN_C1" localSheetId="4">CÁLCULOS!$B$75</definedName>
    <definedName name="Capas_VN_C2" localSheetId="4">CÁLCULOS!$BG$75</definedName>
    <definedName name="Casilla1" localSheetId="2">Seccion1!$V$10</definedName>
    <definedName name="Casilla1" localSheetId="3">Seccion2!$V$10</definedName>
    <definedName name="Cond._intersticial" localSheetId="4">CÁLCULOS!$P$75</definedName>
    <definedName name="d_AT1_C1" localSheetId="4">CÁLCULOS!$C$7:$C$18</definedName>
    <definedName name="d_AT1_C2" localSheetId="4">CÁLCULOS!$BH$7:$BH$18</definedName>
    <definedName name="d_AT2_C1" localSheetId="4">CÁLCULOS!$C$34:$C$45</definedName>
    <definedName name="d_AT2_C2" localSheetId="4">CÁLCULOS!$BH$34:$BH$45</definedName>
    <definedName name="d_VN_C1" localSheetId="4">CÁLCULOS!$C$61:$C$72</definedName>
    <definedName name="d_VN_C2" localSheetId="4">CÁLCULOS!$BH$61:$BH$72</definedName>
    <definedName name="direccion_flujo_C1" localSheetId="2">Seccion1!$S$17</definedName>
    <definedName name="direccion_flujo_C1" localSheetId="3">Seccion2!$S$17</definedName>
    <definedName name="direccion_flujo_C2" localSheetId="2">Seccion1!$V$17</definedName>
    <definedName name="direccion_flujo_C2" localSheetId="3">Seccion2!$V$17</definedName>
    <definedName name="DISMINUYE">Aux!$AO$37</definedName>
    <definedName name="Espesor_total_AT1_C1" localSheetId="4">CÁLCULOS!$C$21</definedName>
    <definedName name="Espesor_total_AT1_C2" localSheetId="4">CÁLCULOS!$BH$21</definedName>
    <definedName name="Espesor_total_AT2_C1" localSheetId="4">CÁLCULOS!$C$48</definedName>
    <definedName name="Espesor_total_AT2_C2" localSheetId="4">CÁLCULOS!$BH$48</definedName>
    <definedName name="Espesor_total_VN_C1" localSheetId="4">CÁLCULOS!$C$75</definedName>
    <definedName name="Espesor_total_VN_C2" localSheetId="4">CÁLCULOS!$BH$75</definedName>
    <definedName name="frase0">Aux!$AN$39</definedName>
    <definedName name="frase1_1">Aux!$AN$37</definedName>
    <definedName name="frase1_2">Aux!$AP$37</definedName>
    <definedName name="frase1_3">Aux!$AR$37</definedName>
    <definedName name="INTERSTICIAL">Aux!$AQ$38</definedName>
    <definedName name="lista_direccion_flujo">Aux!$AK$11:$AK$13</definedName>
    <definedName name="lista_magnitudes_difusion_vp">Aux!$AS$17:$AS$21</definedName>
    <definedName name="lista_Materiales">Aux!$AM$17</definedName>
    <definedName name="lista_Materiales_C1" localSheetId="2">Seccion1!$B$24:$E$35</definedName>
    <definedName name="lista_Materiales_C1" localSheetId="3">Seccion2!$B$24:$E$35</definedName>
    <definedName name="lista_Materiales_C2" localSheetId="2">Seccion1!$I$24:$L$35</definedName>
    <definedName name="lista_Materiales_C2" localSheetId="3">Seccion2!$I$24:$L$35</definedName>
    <definedName name="lista_origen_materiales">Aux!$AP$8:$AP$14</definedName>
    <definedName name="lista_provincias">Aux!$A$2:$A$83</definedName>
    <definedName name="lista_Rsi">Aux!$AL$11:$AL$13</definedName>
    <definedName name="mes" localSheetId="4">CÁLCULOS!$L$57</definedName>
    <definedName name="NO_DISMINUYE">Aux!$AO$38</definedName>
    <definedName name="P_sat_AT1_C1" localSheetId="4">CÁLCULOS!$L$5:$L$18</definedName>
    <definedName name="P_sat_AT1_C2" localSheetId="4">CÁLCULOS!$BQ$5:$BQ$18</definedName>
    <definedName name="P_sat_AT2_C1" localSheetId="4">CÁLCULOS!$L$32:$L$45</definedName>
    <definedName name="P_sat_AT2_C2" localSheetId="4">CÁLCULOS!$BQ$32:$BQ$45</definedName>
    <definedName name="P_sat_e_AT1_C1" localSheetId="4">CÁLCULOS!$L$22</definedName>
    <definedName name="P_sat_e_AT1_C2" localSheetId="4">CÁLCULOS!$BQ$23</definedName>
    <definedName name="P_sat_e_AT2_C1" localSheetId="4">CÁLCULOS!$L$49</definedName>
    <definedName name="P_sat_e_AT2_C2" localSheetId="4">CÁLCULOS!$BQ$50</definedName>
    <definedName name="P_sat_e_VN_C1" localSheetId="4">CÁLCULOS!$L$76</definedName>
    <definedName name="P_sat_e_VN_C2" localSheetId="4">CÁLCULOS!$BQ$76</definedName>
    <definedName name="P_sat_i_AT1_C1" localSheetId="4">CÁLCULOS!$L$23</definedName>
    <definedName name="P_sat_i_AT1_C2" localSheetId="4">CÁLCULOS!$BQ$24</definedName>
    <definedName name="P_sat_i_AT2_C1" localSheetId="4">CÁLCULOS!$L$50</definedName>
    <definedName name="P_sat_i_AT2_C2" localSheetId="4">CÁLCULOS!$BQ$51</definedName>
    <definedName name="P_sat_i_VN_C1" localSheetId="4">CÁLCULOS!$N$76</definedName>
    <definedName name="P_sat_i_VN_C2" localSheetId="4">CÁLCULOS!$BQ$77</definedName>
    <definedName name="P_sat_VN_C1" localSheetId="4">CÁLCULOS!$L$59:$L$72</definedName>
    <definedName name="Pe_H1_C1" localSheetId="4">CÁLCULOS!$L$24</definedName>
    <definedName name="Pe_H1_C2" localSheetId="4">CÁLCULOS!$BQ$22</definedName>
    <definedName name="Pe_H2_C1" localSheetId="4">CÁLCULOS!$L$51</definedName>
    <definedName name="Pe_H2_C2" localSheetId="4">CÁLCULOS!$BQ$49</definedName>
    <definedName name="Pe_H3_C1" localSheetId="4">CÁLCULOS!$L$77</definedName>
    <definedName name="Pe_H3_C2" localSheetId="4">CÁLCULOS!$BQ$78</definedName>
    <definedName name="Pi_HR_1_H1_C1" localSheetId="4">CÁLCULOS!$O$3</definedName>
    <definedName name="Pi_HR_1_H1_C2" localSheetId="4">CÁLCULOS!$BT$3</definedName>
    <definedName name="Pi_HR_1_H2_C1" localSheetId="4">CÁLCULOS!$O$30</definedName>
    <definedName name="Pi_HR_1_H2_C2" localSheetId="4">CÁLCULOS!$BT$30</definedName>
    <definedName name="Pi_HR_1_H3_C1" localSheetId="4">CÁLCULOS!$N$77</definedName>
    <definedName name="Pi_HR_1_H3_C2" localSheetId="4">CÁLCULOS!$BT$57</definedName>
    <definedName name="Pi_HR_2_H1_C1" localSheetId="4">CÁLCULOS!$Z$3</definedName>
    <definedName name="Pi_HR_2_H1_C2" localSheetId="4">CÁLCULOS!$CE$3</definedName>
    <definedName name="Pi_HR_2_H2_C1" localSheetId="4">CÁLCULOS!$Z$30</definedName>
    <definedName name="Pi_HR_2_H2_C2" localSheetId="4">CÁLCULOS!$CE$30</definedName>
    <definedName name="Pi_HR_2_H3_C1" localSheetId="4">CÁLCULOS!$Z$57</definedName>
    <definedName name="Pi_HR_2_H3_C2" localSheetId="4">CÁLCULOS!$CE$57</definedName>
    <definedName name="Pi_HR_3_H1_C1" localSheetId="4">CÁLCULOS!$AK$3</definedName>
    <definedName name="Pi_HR_3_H1_C2" localSheetId="4">CÁLCULOS!$CP$3</definedName>
    <definedName name="Pi_HR_3_H2_C1" localSheetId="4">CÁLCULOS!$AK$30</definedName>
    <definedName name="Pi_HR_3_H2_C2" localSheetId="4">CÁLCULOS!$CP$30</definedName>
    <definedName name="Pi_HR_3_H3_C1" localSheetId="4">CÁLCULOS!$AK$57</definedName>
    <definedName name="Pi_HR_3_H3_C2" localSheetId="4">CÁLCULOS!$CP$57</definedName>
    <definedName name="Pi_HR_4_H1_C1" localSheetId="4">CÁLCULOS!$AV$3</definedName>
    <definedName name="Pi_HR_4_H1_C2" localSheetId="4">CÁLCULOS!$DA$3</definedName>
    <definedName name="Pi_HR_4_H2_C1" localSheetId="4">CÁLCULOS!$AV$30</definedName>
    <definedName name="Pi_HR_4_H2_C2" localSheetId="4">CÁLCULOS!$DA$30</definedName>
    <definedName name="Pi_HR_4_H3_C1" localSheetId="4">CÁLCULOS!$AV$57</definedName>
    <definedName name="Pi_HR_4_H3_C2" localSheetId="4">CÁLCULOS!$DA$57</definedName>
    <definedName name="provincia_C1" localSheetId="2">Seccion1!$R$11</definedName>
    <definedName name="provincia_C1" localSheetId="3">Seccion2!$R$11</definedName>
    <definedName name="provincia_C2" localSheetId="2">Seccion1!$V$11</definedName>
    <definedName name="provincia_C2" localSheetId="3">Seccion2!$V$11</definedName>
    <definedName name="R_H1_C1" localSheetId="4">CÁLCULOS!$D$7:$D$18</definedName>
    <definedName name="R_H1_C2" localSheetId="4">CÁLCULOS!$BI$7:$BI$18</definedName>
    <definedName name="R_H2_C1" localSheetId="4">CÁLCULOS!$D$34:$D$45</definedName>
    <definedName name="R_H2_C2" localSheetId="4">CÁLCULOS!$BI$34:$BI$45</definedName>
    <definedName name="R_H3_C1" localSheetId="4">CÁLCULOS!$D$61:$D$72</definedName>
    <definedName name="Rn_H1_C1" localSheetId="4">CÁLCULOS!$H$6:$H$18</definedName>
    <definedName name="Rn_H1_C2" localSheetId="4">CÁLCULOS!$BM$6:$BM$18</definedName>
    <definedName name="Rn_H2_C1" localSheetId="4">CÁLCULOS!$H$33:$H$45</definedName>
    <definedName name="Rn_H2_C2" localSheetId="4">CÁLCULOS!$BM$33:$BM$45</definedName>
    <definedName name="Rn_H3_C1" localSheetId="4">CÁLCULOS!$H$60:$H$72</definedName>
    <definedName name="Rn_H3_C2" localSheetId="4">CÁLCULOS!$BM$60:$BM$72</definedName>
    <definedName name="Rse">Aux!$AL$35</definedName>
    <definedName name="Rse_H1" localSheetId="4">CÁLCULOS!$I$24</definedName>
    <definedName name="Rse_H2" localSheetId="4">CÁLCULOS!$I$51</definedName>
    <definedName name="Rse_H3" localSheetId="4">CÁLCULOS!$I$78</definedName>
    <definedName name="Rsi_H1" localSheetId="4">CÁLCULOS!$I$23</definedName>
    <definedName name="Rsi_H1">#REF!</definedName>
    <definedName name="Rsi_H2" localSheetId="4">CÁLCULOS!$I$50</definedName>
    <definedName name="Rsi_H3" localSheetId="4">CÁLCULOS!$I$77</definedName>
    <definedName name="Rsi_opaco">Aux!$AL$33</definedName>
    <definedName name="Rsi_ventana_puerta">Aux!$AK$11:$AL$13</definedName>
    <definedName name="RT_H1_C1" localSheetId="4">CÁLCULOS!$D$21</definedName>
    <definedName name="RT_H1_C2" localSheetId="4">CÁLCULOS!$BI$21</definedName>
    <definedName name="RT_H2_C1" localSheetId="4">CÁLCULOS!$D$48</definedName>
    <definedName name="RT_H2_C2" localSheetId="4">CÁLCULOS!$BI$48</definedName>
    <definedName name="RT_H3_C1" localSheetId="4">CÁLCULOS!$D$75</definedName>
    <definedName name="RT_H3_C2" localSheetId="4">CÁLCULOS!$BI$75</definedName>
    <definedName name="Rv">Aux!$AN$22</definedName>
    <definedName name="S_d_H1_C1" localSheetId="4">CÁLCULOS!$I$7:$I$18</definedName>
    <definedName name="S_d_H2_C1" localSheetId="4">CÁLCULOS!$I$33:$I$45</definedName>
    <definedName name="S_d_H2_C2" localSheetId="4">CÁLCULOS!$BN$33:$BN$45</definedName>
    <definedName name="S_d_H3_C1" localSheetId="4">CÁLCULOS!$I$60:$I$72</definedName>
    <definedName name="Sd_T_H1_C1" localSheetId="4">CÁLCULOS!$I$21</definedName>
    <definedName name="Sd_T_H1_C2" localSheetId="4">CÁLCULOS!$BN$21</definedName>
    <definedName name="Sd_T_H2_C1" localSheetId="4">CÁLCULOS!$I$48</definedName>
    <definedName name="Sd_T_H2_C2" localSheetId="4">CÁLCULOS!$BN$48</definedName>
    <definedName name="Sd_T_H3_C1" localSheetId="4">CÁLCULOS!$I$75</definedName>
    <definedName name="Sd_T_H3_C2" localSheetId="4">CÁLCULOS!$BN$75</definedName>
    <definedName name="SUPERFICIAL">Aux!$AQ$37</definedName>
    <definedName name="tipo_elemento">Aux!$AK$30:$AL$31</definedName>
    <definedName name="verif_aire_H1_C1" localSheetId="4">CÁLCULOS!$F$7:$F$18</definedName>
    <definedName name="verif_aire_H1_C2" localSheetId="4">CÁLCULOS!$BK$7:$BK$18</definedName>
    <definedName name="verif_aire_H2_C1" localSheetId="4">CÁLCULOS!$F$34:$F$45</definedName>
    <definedName name="verif_aire_H2_C2" localSheetId="4">CÁLCULOS!$BK$34:$BK$45</definedName>
    <definedName name="verif_aire_H3_C1" localSheetId="4">CÁLCULOS!$F$61:$F$72</definedName>
    <definedName name="verif_aire_H3_C2" localSheetId="4">CÁLCULOS!$BK$61:$BK$72</definedName>
    <definedName name="δ_0">Aux!$AK$16</definedName>
    <definedName name="ϴe_H1_C1" localSheetId="4">CÁLCULOS!$L$21</definedName>
    <definedName name="ϴe_H1_C2" localSheetId="4">CÁLCULOS!$BQ$21</definedName>
    <definedName name="ϴe_H2_C1" localSheetId="4">CÁLCULOS!$L$48</definedName>
    <definedName name="ϴe_H2_C2" localSheetId="4">CÁLCULOS!$BQ$48</definedName>
    <definedName name="ϴe_H3_C1" localSheetId="4">CÁLCULOS!$L$74</definedName>
    <definedName name="ϴe_H3_C2" localSheetId="4">CÁLCULOS!$BQ$75</definedName>
    <definedName name="ϴi_H1_C1" localSheetId="4">CÁLCULOS!$L$25</definedName>
    <definedName name="ϴi_H1_C2" localSheetId="4">CÁLCULOS!$BQ$25</definedName>
    <definedName name="ϴi_H2_C1" localSheetId="4">CÁLCULOS!$L$52</definedName>
    <definedName name="ϴi_H2_C2" localSheetId="4">CÁLCULOS!$BQ$52</definedName>
    <definedName name="ϴi_H2_C2" localSheetId="2">CÁLCULOS!$BQ$25</definedName>
    <definedName name="ϴi_H2_C2" localSheetId="3">CÁLCULOS!$BQ$25</definedName>
    <definedName name="ϴn_H1_C1" localSheetId="4">CÁLCULOS!$K$5:$K$18</definedName>
    <definedName name="ϴn_H1_C2" localSheetId="4">CÁLCULOS!$BP$5:$BP$18</definedName>
    <definedName name="ϴn_H2_C1" localSheetId="4">CÁLCULOS!$K$32:$K$45</definedName>
    <definedName name="ϴn_H2_C2" localSheetId="4">CÁLCULOS!$BP$32:$BP$45</definedName>
    <definedName name="ϴn_H3_C1" localSheetId="4">CÁLCULOS!$K$59:$K$72</definedName>
    <definedName name="ϴn_H3_C2" localSheetId="4">CÁLCULOS!$BP$59:$BP$72</definedName>
    <definedName name="μ_H1_C1" localSheetId="4">CÁLCULOS!$E$7:$E$18</definedName>
    <definedName name="μ_H1_C2" localSheetId="4">CÁLCULOS!$BJ$7:$BJ$18</definedName>
    <definedName name="μ_H2_C1" localSheetId="4">CÁLCULOS!$E$34:$E$45</definedName>
    <definedName name="μ_H2_C2" localSheetId="4">CÁLCULOS!$BJ$34:$BJ$45</definedName>
    <definedName name="μ_H3_C1" localSheetId="4">CÁLCULOS!$E$61:$E$72</definedName>
    <definedName name="μ_H3_C2" localSheetId="4">CÁLCULOS!$BJ$61:$BJ$72</definedName>
    <definedName name="μ_inf">Aux!$AM$6</definedName>
    <definedName name="φe_H1_C1" localSheetId="4">CÁLCULOS!$L$20</definedName>
    <definedName name="φe_H1_C2" localSheetId="4">CÁLCULOS!$BQ$20</definedName>
    <definedName name="φe_H2_C1" localSheetId="4">CÁLCULOS!$L$47</definedName>
    <definedName name="φe_H2_C2" localSheetId="4">CÁLCULOS!$BQ$47</definedName>
    <definedName name="φe_H3_C1" localSheetId="4">CÁLCULOS!$L$75</definedName>
    <definedName name="φe_H3_C2" localSheetId="4">CÁLCULOS!$BQ$74</definedName>
    <definedName name="φi_C1" localSheetId="2">Seccion1!$S$16</definedName>
    <definedName name="φi_C1" localSheetId="3">Seccion2!$S$16</definedName>
    <definedName name="φi_C2" localSheetId="2">Seccion1!$V$16</definedName>
    <definedName name="φi_C2" localSheetId="3">Seccion2!$V$16</definedName>
    <definedName name="φsicr_C1" localSheetId="2">Seccion1!$S$15</definedName>
    <definedName name="φsicr_C1" localSheetId="3">Seccion2!$S$15</definedName>
    <definedName name="φsicr_C2" localSheetId="2">Seccion1!$V$15</definedName>
    <definedName name="φsicr_C2" localSheetId="3">Seccion2!$V$15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18" l="1"/>
  <c r="BN51" i="6" l="1"/>
  <c r="I51" i="6"/>
  <c r="S18" i="16"/>
  <c r="V18" i="16" s="1"/>
  <c r="BK48" i="6" s="1"/>
  <c r="S18" i="14"/>
  <c r="V18" i="14" s="1"/>
  <c r="F48" i="6" l="1"/>
  <c r="T372" i="6"/>
  <c r="T346" i="6"/>
  <c r="T320" i="6"/>
  <c r="T294" i="6"/>
  <c r="T268" i="6"/>
  <c r="P268" i="6" s="1"/>
  <c r="O87" i="6" a="1"/>
  <c r="O87" i="6" s="1"/>
  <c r="P372" i="6" l="1"/>
  <c r="P346" i="6"/>
  <c r="P320" i="6"/>
  <c r="P294" i="6"/>
  <c r="O98" i="6"/>
  <c r="O94" i="6"/>
  <c r="O90" i="6"/>
  <c r="O97" i="6"/>
  <c r="O93" i="6"/>
  <c r="O89" i="6"/>
  <c r="O96" i="6"/>
  <c r="O92" i="6"/>
  <c r="O88" i="6"/>
  <c r="O95" i="6"/>
  <c r="O91" i="6"/>
  <c r="M187" i="6"/>
  <c r="M161" i="6"/>
  <c r="M135" i="6"/>
  <c r="M109" i="6"/>
  <c r="M369" i="6" l="1"/>
  <c r="M343" i="6"/>
  <c r="M317" i="6"/>
  <c r="M291" i="6"/>
  <c r="M265" i="6"/>
  <c r="M239" i="6"/>
  <c r="M213" i="6"/>
  <c r="M83" i="6"/>
  <c r="B118" i="6"/>
  <c r="E107" i="6"/>
  <c r="H109" i="6"/>
  <c r="D104" i="6"/>
  <c r="D92" i="6"/>
  <c r="D111" i="6"/>
  <c r="E92" i="6"/>
  <c r="G103" i="6"/>
  <c r="G106" i="6"/>
  <c r="F110" i="6"/>
  <c r="G109" i="6"/>
  <c r="E99" i="6"/>
  <c r="C93" i="6"/>
  <c r="E95" i="6"/>
  <c r="G112" i="6"/>
  <c r="C111" i="6"/>
  <c r="D93" i="6"/>
  <c r="D106" i="6"/>
  <c r="C114" i="6"/>
  <c r="H108" i="6"/>
  <c r="F100" i="6"/>
  <c r="D110" i="6"/>
  <c r="D97" i="6"/>
  <c r="E104" i="6"/>
  <c r="H103" i="6"/>
  <c r="H106" i="6"/>
  <c r="C94" i="6"/>
  <c r="H113" i="6"/>
  <c r="G110" i="6"/>
  <c r="C96" i="6"/>
  <c r="E94" i="6"/>
  <c r="G94" i="6" l="1"/>
  <c r="AN85" i="2"/>
  <c r="AN26" i="2"/>
  <c r="AK16" i="2"/>
  <c r="J60" i="6"/>
  <c r="H60" i="6"/>
  <c r="F76" i="6"/>
  <c r="AS46" i="2"/>
  <c r="AT46" i="2"/>
  <c r="AS47" i="2"/>
  <c r="AT47" i="2"/>
  <c r="AT45" i="2"/>
  <c r="AS45" i="2"/>
  <c r="D82" i="6"/>
  <c r="D83" i="6"/>
  <c r="D81" i="6"/>
  <c r="D80" i="6"/>
  <c r="D79" i="6"/>
  <c r="D78" i="6"/>
  <c r="AW46" i="2"/>
  <c r="D95" i="6"/>
  <c r="C99" i="6"/>
  <c r="B164" i="6"/>
  <c r="F90" i="6"/>
  <c r="F98" i="6"/>
  <c r="C100" i="6"/>
  <c r="G105" i="6"/>
  <c r="B147" i="6"/>
  <c r="E110" i="6"/>
  <c r="D103" i="6"/>
  <c r="B121" i="6"/>
  <c r="G113" i="6"/>
  <c r="G108" i="6"/>
  <c r="B152" i="6"/>
  <c r="E105" i="6"/>
  <c r="F96" i="6"/>
  <c r="C104" i="6"/>
  <c r="B154" i="6"/>
  <c r="C91" i="6"/>
  <c r="H111" i="6"/>
  <c r="B169" i="6"/>
  <c r="D109" i="6"/>
  <c r="B134" i="6"/>
  <c r="E98" i="6"/>
  <c r="B119" i="6"/>
  <c r="H110" i="6"/>
  <c r="B168" i="6"/>
  <c r="L74" i="6"/>
  <c r="C107" i="6"/>
  <c r="B170" i="6"/>
  <c r="C109" i="6"/>
  <c r="L75" i="6"/>
  <c r="B157" i="6"/>
  <c r="G104" i="6"/>
  <c r="E108" i="6"/>
  <c r="B153" i="6"/>
  <c r="B167" i="6"/>
  <c r="B162" i="6"/>
  <c r="E113" i="6"/>
  <c r="D94" i="6"/>
  <c r="B137" i="6"/>
  <c r="B139" i="6"/>
  <c r="H107" i="6"/>
  <c r="C106" i="6"/>
  <c r="E93" i="6"/>
  <c r="D113" i="6"/>
  <c r="B161" i="6"/>
  <c r="D96" i="6"/>
  <c r="F113" i="6"/>
  <c r="F103" i="6"/>
  <c r="F107" i="6"/>
  <c r="C110" i="6"/>
  <c r="H104" i="6"/>
  <c r="C113" i="6"/>
  <c r="G111" i="6"/>
  <c r="F93" i="6"/>
  <c r="D112" i="6"/>
  <c r="B122" i="6"/>
  <c r="C92" i="6"/>
  <c r="B129" i="6"/>
  <c r="F91" i="6"/>
  <c r="C112" i="6"/>
  <c r="B140" i="6"/>
  <c r="F112" i="6"/>
  <c r="B149" i="6"/>
  <c r="B132" i="6"/>
  <c r="C90" i="6"/>
  <c r="E90" i="6"/>
  <c r="N74" i="6"/>
  <c r="B133" i="6"/>
  <c r="D99" i="6"/>
  <c r="E96" i="6"/>
  <c r="C108" i="6"/>
  <c r="F97" i="6"/>
  <c r="H112" i="6"/>
  <c r="D100" i="6"/>
  <c r="G107" i="6"/>
  <c r="B163" i="6"/>
  <c r="B165" i="6"/>
  <c r="D105" i="6"/>
  <c r="E114" i="6"/>
  <c r="B148" i="6"/>
  <c r="C103" i="6"/>
  <c r="H105" i="6"/>
  <c r="C95" i="6"/>
  <c r="B135" i="6"/>
  <c r="C105" i="6"/>
  <c r="B136" i="6"/>
  <c r="B156" i="6"/>
  <c r="B160" i="6"/>
  <c r="B155" i="6"/>
  <c r="B127" i="6"/>
  <c r="F99" i="6"/>
  <c r="B166" i="6"/>
  <c r="H114" i="6"/>
  <c r="D107" i="6"/>
  <c r="B125" i="6"/>
  <c r="E91" i="6"/>
  <c r="F95" i="6"/>
  <c r="F105" i="6"/>
  <c r="B131" i="6"/>
  <c r="D90" i="6"/>
  <c r="F114" i="6"/>
  <c r="E97" i="6"/>
  <c r="B150" i="6"/>
  <c r="D89" i="6"/>
  <c r="F104" i="6"/>
  <c r="F92" i="6"/>
  <c r="C98" i="6"/>
  <c r="C89" i="6"/>
  <c r="E109" i="6"/>
  <c r="E111" i="6"/>
  <c r="B128" i="6"/>
  <c r="C97" i="6"/>
  <c r="G114" i="6"/>
  <c r="E106" i="6"/>
  <c r="B120" i="6"/>
  <c r="B123" i="6"/>
  <c r="B159" i="6"/>
  <c r="F106" i="6"/>
  <c r="B126" i="6"/>
  <c r="B146" i="6"/>
  <c r="F94" i="6"/>
  <c r="E103" i="6"/>
  <c r="B124" i="6"/>
  <c r="B151" i="6"/>
  <c r="F89" i="6"/>
  <c r="B141" i="6"/>
  <c r="D91" i="6"/>
  <c r="F108" i="6"/>
  <c r="E112" i="6"/>
  <c r="F111" i="6"/>
  <c r="D108" i="6"/>
  <c r="F109" i="6"/>
  <c r="E89" i="6"/>
  <c r="B142" i="6"/>
  <c r="E100" i="6"/>
  <c r="D98" i="6"/>
  <c r="B138" i="6"/>
  <c r="D114" i="6"/>
  <c r="G91" i="6" l="1"/>
  <c r="G100" i="6"/>
  <c r="G97" i="6"/>
  <c r="G98" i="6"/>
  <c r="G95" i="6"/>
  <c r="G89" i="6"/>
  <c r="G92" i="6"/>
  <c r="G93" i="6"/>
  <c r="G99" i="6"/>
  <c r="G96" i="6"/>
  <c r="I105" i="6"/>
  <c r="G90" i="6"/>
  <c r="B75" i="6"/>
  <c r="S320" i="6" l="1" a="1"/>
  <c r="S320" i="6" s="1"/>
  <c r="S294" i="6" a="1"/>
  <c r="S294" i="6" s="1"/>
  <c r="S346" i="6" a="1"/>
  <c r="S346" i="6" s="1"/>
  <c r="S372" i="6" a="1"/>
  <c r="S372" i="6" s="1"/>
  <c r="S268" i="6" a="1"/>
  <c r="S268" i="6" s="1"/>
  <c r="B62" i="6"/>
  <c r="H62" i="6" s="1"/>
  <c r="B68" i="6"/>
  <c r="B67" i="6"/>
  <c r="B66" i="6"/>
  <c r="B73" i="6"/>
  <c r="B65" i="6"/>
  <c r="B72" i="6"/>
  <c r="B64" i="6"/>
  <c r="B71" i="6"/>
  <c r="B63" i="6"/>
  <c r="B69" i="6"/>
  <c r="B70" i="6"/>
  <c r="N76" i="6"/>
  <c r="AT64" i="2"/>
  <c r="AU64" i="2"/>
  <c r="AV64" i="2"/>
  <c r="AW64" i="2"/>
  <c r="AT65" i="2"/>
  <c r="AU65" i="2"/>
  <c r="AV65" i="2"/>
  <c r="AW65" i="2"/>
  <c r="AT66" i="2"/>
  <c r="AU66" i="2"/>
  <c r="AV66" i="2"/>
  <c r="AW66" i="2"/>
  <c r="AT67" i="2"/>
  <c r="AU67" i="2"/>
  <c r="AV67" i="2"/>
  <c r="AW67" i="2"/>
  <c r="AS65" i="2"/>
  <c r="AS66" i="2"/>
  <c r="AS67" i="2"/>
  <c r="AS64" i="2"/>
  <c r="AT54" i="2"/>
  <c r="AU54" i="2"/>
  <c r="AV54" i="2"/>
  <c r="AW54" i="2"/>
  <c r="AT55" i="2"/>
  <c r="AU55" i="2"/>
  <c r="AV55" i="2"/>
  <c r="AW55" i="2"/>
  <c r="AT56" i="2"/>
  <c r="AU56" i="2"/>
  <c r="AV56" i="2"/>
  <c r="AW56" i="2"/>
  <c r="AT57" i="2"/>
  <c r="AU57" i="2"/>
  <c r="AV57" i="2"/>
  <c r="AW57" i="2"/>
  <c r="AS55" i="2"/>
  <c r="AS56" i="2"/>
  <c r="AS57" i="2"/>
  <c r="AS54" i="2"/>
  <c r="I77" i="6"/>
  <c r="I78" i="6"/>
  <c r="X372" i="6" l="1"/>
  <c r="W372" i="6"/>
  <c r="U372" i="6"/>
  <c r="V372" i="6" s="1"/>
  <c r="W346" i="6"/>
  <c r="X346" i="6"/>
  <c r="U346" i="6"/>
  <c r="V346" i="6" s="1"/>
  <c r="U294" i="6"/>
  <c r="V294" i="6" s="1"/>
  <c r="W294" i="6"/>
  <c r="X294" i="6"/>
  <c r="W268" i="6"/>
  <c r="X268" i="6"/>
  <c r="U268" i="6"/>
  <c r="V268" i="6" s="1"/>
  <c r="W320" i="6"/>
  <c r="U320" i="6"/>
  <c r="V320" i="6" s="1"/>
  <c r="X320" i="6"/>
  <c r="G62" i="6"/>
  <c r="G72" i="6"/>
  <c r="H72" i="6"/>
  <c r="G65" i="6"/>
  <c r="H65" i="6"/>
  <c r="H64" i="6"/>
  <c r="G64" i="6"/>
  <c r="G70" i="6"/>
  <c r="H70" i="6"/>
  <c r="H66" i="6"/>
  <c r="G66" i="6"/>
  <c r="H69" i="6"/>
  <c r="G69" i="6"/>
  <c r="G67" i="6"/>
  <c r="H67" i="6"/>
  <c r="H63" i="6"/>
  <c r="G63" i="6"/>
  <c r="G68" i="6"/>
  <c r="H68" i="6"/>
  <c r="H71" i="6"/>
  <c r="G71" i="6"/>
  <c r="L25" i="6"/>
  <c r="BN24" i="6"/>
  <c r="I24" i="6"/>
  <c r="BK21" i="6" l="1"/>
  <c r="F21" i="6"/>
  <c r="L38" i="11"/>
  <c r="S15" i="16" l="1"/>
  <c r="S15" i="14"/>
  <c r="V15" i="14" s="1"/>
  <c r="B42" i="11"/>
  <c r="L41" i="11"/>
  <c r="L37" i="11"/>
  <c r="E22" i="11" a="1"/>
  <c r="E22" i="11" s="1"/>
  <c r="K32" i="11"/>
  <c r="K33" i="11" a="1"/>
  <c r="K33" i="11" s="1"/>
  <c r="I87" i="16"/>
  <c r="I43" i="16"/>
  <c r="B43" i="16"/>
  <c r="B87" i="16"/>
  <c r="I87" i="14"/>
  <c r="B87" i="14"/>
  <c r="I43" i="14"/>
  <c r="B43" i="14"/>
  <c r="E27" i="11" l="1"/>
  <c r="E26" i="11"/>
  <c r="E28" i="11"/>
  <c r="E25" i="11"/>
  <c r="E24" i="11"/>
  <c r="E23" i="11"/>
  <c r="E29" i="11"/>
  <c r="E31" i="11"/>
  <c r="E33" i="11" s="1"/>
  <c r="E34" i="11" s="1"/>
  <c r="E30" i="11"/>
  <c r="D5" i="18"/>
  <c r="I5" i="18" s="1"/>
  <c r="A5" i="18" s="1"/>
  <c r="D6" i="18"/>
  <c r="I6" i="18" s="1"/>
  <c r="A6" i="18" s="1"/>
  <c r="D7" i="18"/>
  <c r="I7" i="18" s="1"/>
  <c r="A7" i="18" s="1"/>
  <c r="D8" i="18"/>
  <c r="I8" i="18" s="1"/>
  <c r="A8" i="18" s="1"/>
  <c r="D9" i="18"/>
  <c r="I9" i="18" s="1"/>
  <c r="A9" i="18" s="1"/>
  <c r="D10" i="18"/>
  <c r="I10" i="18" s="1"/>
  <c r="A10" i="18" s="1"/>
  <c r="D11" i="18"/>
  <c r="I11" i="18" s="1"/>
  <c r="A11" i="18" s="1"/>
  <c r="D12" i="18"/>
  <c r="I12" i="18" s="1"/>
  <c r="A12" i="18" s="1"/>
  <c r="D13" i="18"/>
  <c r="I13" i="18" s="1"/>
  <c r="A13" i="18" s="1"/>
  <c r="D14" i="18"/>
  <c r="I14" i="18" s="1"/>
  <c r="A14" i="18" s="1"/>
  <c r="D15" i="18"/>
  <c r="I15" i="18" s="1"/>
  <c r="A15" i="18" s="1"/>
  <c r="D16" i="18"/>
  <c r="I16" i="18" s="1"/>
  <c r="A16" i="18" s="1"/>
  <c r="D17" i="18"/>
  <c r="I17" i="18" s="1"/>
  <c r="A17" i="18" s="1"/>
  <c r="D18" i="18"/>
  <c r="I18" i="18" s="1"/>
  <c r="A18" i="18" s="1"/>
  <c r="D19" i="18"/>
  <c r="I19" i="18" s="1"/>
  <c r="A19" i="18" s="1"/>
  <c r="I20" i="18"/>
  <c r="A20" i="18" s="1"/>
  <c r="D21" i="18"/>
  <c r="I21" i="18" s="1"/>
  <c r="A21" i="18" s="1"/>
  <c r="D22" i="18"/>
  <c r="I22" i="18" s="1"/>
  <c r="A22" i="18" s="1"/>
  <c r="D23" i="18"/>
  <c r="I23" i="18" s="1"/>
  <c r="A23" i="18" s="1"/>
  <c r="D4" i="18"/>
  <c r="D140" i="18"/>
  <c r="D142" i="18"/>
  <c r="D143" i="18"/>
  <c r="D145" i="18"/>
  <c r="D146" i="18"/>
  <c r="D147" i="18"/>
  <c r="D148" i="18"/>
  <c r="D149" i="18"/>
  <c r="D150" i="18"/>
  <c r="D152" i="18"/>
  <c r="D153" i="18"/>
  <c r="D154" i="18"/>
  <c r="D155" i="18"/>
  <c r="D156" i="18"/>
  <c r="D157" i="18"/>
  <c r="D158" i="18"/>
  <c r="D159" i="18"/>
  <c r="D160" i="18"/>
  <c r="D162" i="18"/>
  <c r="D163" i="18"/>
  <c r="D164" i="18"/>
  <c r="D165" i="18"/>
  <c r="D166" i="18"/>
  <c r="D167" i="18"/>
  <c r="D169" i="18"/>
  <c r="D170" i="18"/>
  <c r="D171" i="18"/>
  <c r="D173" i="18"/>
  <c r="D174" i="18"/>
  <c r="D175" i="18"/>
  <c r="D176" i="18"/>
  <c r="D177" i="18"/>
  <c r="D178" i="18"/>
  <c r="D179" i="18"/>
  <c r="D180" i="18"/>
  <c r="D181" i="18"/>
  <c r="D183" i="18"/>
  <c r="D184" i="18"/>
  <c r="D185" i="18"/>
  <c r="D186" i="18"/>
  <c r="D187" i="18"/>
  <c r="D188" i="18"/>
  <c r="D189" i="18"/>
  <c r="D190" i="18"/>
  <c r="D191" i="18"/>
  <c r="D192" i="18"/>
  <c r="D194" i="18"/>
  <c r="D195" i="18"/>
  <c r="D196" i="18"/>
  <c r="D197" i="18"/>
  <c r="D198" i="18"/>
  <c r="D199" i="18"/>
  <c r="D200" i="18"/>
  <c r="D201" i="18"/>
  <c r="D202" i="18"/>
  <c r="D203" i="18"/>
  <c r="D204" i="18"/>
  <c r="D205" i="18"/>
  <c r="D206" i="18"/>
  <c r="D207" i="18"/>
  <c r="D208" i="18"/>
  <c r="D209" i="18"/>
  <c r="D210" i="18"/>
  <c r="D212" i="18"/>
  <c r="D213" i="18"/>
  <c r="D214" i="18"/>
  <c r="D215" i="18"/>
  <c r="D216" i="18"/>
  <c r="D217" i="18"/>
  <c r="D218" i="18"/>
  <c r="D219" i="18"/>
  <c r="D220" i="18"/>
  <c r="D222" i="18"/>
  <c r="D223" i="18"/>
  <c r="D224" i="18"/>
  <c r="D225" i="18"/>
  <c r="D226" i="18"/>
  <c r="D227" i="18"/>
  <c r="D228" i="18"/>
  <c r="D229" i="18"/>
  <c r="D230" i="18"/>
  <c r="D232" i="18"/>
  <c r="D233" i="18"/>
  <c r="D234" i="18"/>
  <c r="D235" i="18"/>
  <c r="D236" i="18"/>
  <c r="D237" i="18"/>
  <c r="D239" i="18"/>
  <c r="D240" i="18"/>
  <c r="D241" i="18"/>
  <c r="D242" i="18"/>
  <c r="D243" i="18"/>
  <c r="D244" i="18"/>
  <c r="D246" i="18"/>
  <c r="D247" i="18"/>
  <c r="D249" i="18"/>
  <c r="D250" i="18"/>
  <c r="D251" i="18"/>
  <c r="D252" i="18"/>
  <c r="D253" i="18"/>
  <c r="D254" i="18"/>
  <c r="D255" i="18"/>
  <c r="D256" i="18"/>
  <c r="D257" i="18"/>
  <c r="D258" i="18"/>
  <c r="D259" i="18"/>
  <c r="D260" i="18"/>
  <c r="D261" i="18"/>
  <c r="D262" i="18"/>
  <c r="D263" i="18"/>
  <c r="D264" i="18"/>
  <c r="D265" i="18"/>
  <c r="D267" i="18"/>
  <c r="D268" i="18"/>
  <c r="D270" i="18"/>
  <c r="D271" i="18"/>
  <c r="D273" i="18"/>
  <c r="D274" i="18"/>
  <c r="D275" i="18"/>
  <c r="D277" i="18"/>
  <c r="D278" i="18"/>
  <c r="D279" i="18"/>
  <c r="D280" i="18"/>
  <c r="D281" i="18"/>
  <c r="D282" i="18"/>
  <c r="D283" i="18"/>
  <c r="D284" i="18"/>
  <c r="D285" i="18"/>
  <c r="D286" i="18"/>
  <c r="D287" i="18"/>
  <c r="D288" i="18"/>
  <c r="D289" i="18"/>
  <c r="E120" i="18"/>
  <c r="E121" i="18"/>
  <c r="E122" i="18"/>
  <c r="E123" i="18"/>
  <c r="D294" i="18"/>
  <c r="D295" i="18"/>
  <c r="D296" i="18"/>
  <c r="S17" i="16"/>
  <c r="H49" i="6" s="1"/>
  <c r="I50" i="6" s="1"/>
  <c r="B48" i="6"/>
  <c r="BG48" i="6"/>
  <c r="S17" i="14"/>
  <c r="H22" i="6" s="1"/>
  <c r="I23" i="6" s="1"/>
  <c r="BG21" i="6"/>
  <c r="B21" i="6"/>
  <c r="R11" i="14"/>
  <c r="D36" i="2"/>
  <c r="D37" i="2"/>
  <c r="D38" i="2"/>
  <c r="D39" i="2"/>
  <c r="D40" i="2"/>
  <c r="D41" i="2"/>
  <c r="D42" i="2"/>
  <c r="D43" i="2"/>
  <c r="D44" i="2"/>
  <c r="D45" i="2"/>
  <c r="D46" i="2"/>
  <c r="D47" i="2"/>
  <c r="D48" i="2"/>
  <c r="D49" i="2"/>
  <c r="D50" i="2"/>
  <c r="D51" i="2"/>
  <c r="D52" i="2"/>
  <c r="D53" i="2"/>
  <c r="D54" i="2"/>
  <c r="D55" i="2"/>
  <c r="D94" i="2"/>
  <c r="D95" i="2"/>
  <c r="D96" i="2"/>
  <c r="D97" i="2"/>
  <c r="D98" i="2"/>
  <c r="D99" i="2"/>
  <c r="D100" i="2"/>
  <c r="D101" i="2"/>
  <c r="D102" i="2"/>
  <c r="D103" i="2"/>
  <c r="D104" i="2"/>
  <c r="D105" i="2"/>
  <c r="D106" i="2"/>
  <c r="D107" i="2"/>
  <c r="D108" i="2"/>
  <c r="D109" i="2"/>
  <c r="D110" i="2"/>
  <c r="D111" i="2"/>
  <c r="D112" i="2"/>
  <c r="D113" i="2"/>
  <c r="R11" i="16"/>
  <c r="V11" i="16" s="1"/>
  <c r="J18" i="16"/>
  <c r="C18" i="16"/>
  <c r="J18" i="14"/>
  <c r="C18" i="14"/>
  <c r="AV23" i="2"/>
  <c r="L23" i="6"/>
  <c r="Q3" i="6"/>
  <c r="L26" i="6"/>
  <c r="AH3" i="6"/>
  <c r="AS3" i="6"/>
  <c r="BQ25" i="6"/>
  <c r="BQ24" i="6" s="1"/>
  <c r="CB3" i="6"/>
  <c r="BQ26" i="6"/>
  <c r="CM3" i="6"/>
  <c r="CX3" i="6"/>
  <c r="D297" i="18"/>
  <c r="D298" i="18"/>
  <c r="D299" i="18"/>
  <c r="D300" i="18"/>
  <c r="D301" i="18"/>
  <c r="D302" i="18"/>
  <c r="D303" i="18"/>
  <c r="D304" i="18"/>
  <c r="D305" i="18"/>
  <c r="D306" i="18"/>
  <c r="D307" i="18"/>
  <c r="D308" i="18"/>
  <c r="D309" i="18"/>
  <c r="D310" i="18"/>
  <c r="D311" i="18"/>
  <c r="D312" i="18"/>
  <c r="K59" i="6"/>
  <c r="L52" i="6"/>
  <c r="L50" i="6" s="1"/>
  <c r="V15" i="16"/>
  <c r="BQ53" i="6" s="1"/>
  <c r="BQ52" i="6"/>
  <c r="BQ51" i="6" s="1"/>
  <c r="BT30" i="6" s="1"/>
  <c r="DI30" i="6"/>
  <c r="DI3" i="6"/>
  <c r="BD30" i="6"/>
  <c r="BD3" i="6"/>
  <c r="BQ77" i="6"/>
  <c r="DA57" i="6" s="1"/>
  <c r="I101" i="16"/>
  <c r="B101" i="16"/>
  <c r="L76" i="6"/>
  <c r="BQ390" i="6"/>
  <c r="BQ389" i="6"/>
  <c r="BQ388" i="6"/>
  <c r="BQ387" i="6"/>
  <c r="CX370" i="6"/>
  <c r="CM370" i="6"/>
  <c r="CB370" i="6"/>
  <c r="BQ364" i="6"/>
  <c r="BQ363" i="6"/>
  <c r="BQ362" i="6"/>
  <c r="BQ361" i="6"/>
  <c r="CX344" i="6"/>
  <c r="CM344" i="6"/>
  <c r="CB344" i="6"/>
  <c r="BQ338" i="6"/>
  <c r="BQ337" i="6"/>
  <c r="BQ336" i="6"/>
  <c r="BQ335" i="6"/>
  <c r="CX318" i="6"/>
  <c r="CM318" i="6"/>
  <c r="CB318" i="6"/>
  <c r="BQ312" i="6"/>
  <c r="BQ311" i="6"/>
  <c r="BQ310" i="6"/>
  <c r="BQ309" i="6"/>
  <c r="CX292" i="6"/>
  <c r="CM292" i="6"/>
  <c r="CB292" i="6"/>
  <c r="BQ286" i="6"/>
  <c r="BQ285" i="6"/>
  <c r="BQ284" i="6"/>
  <c r="BQ283" i="6"/>
  <c r="CX266" i="6"/>
  <c r="CM266" i="6"/>
  <c r="CB266" i="6"/>
  <c r="BQ260" i="6"/>
  <c r="BQ259" i="6"/>
  <c r="BQ258" i="6"/>
  <c r="BQ257" i="6"/>
  <c r="CX240" i="6"/>
  <c r="CM240" i="6"/>
  <c r="CB240" i="6"/>
  <c r="BQ234" i="6"/>
  <c r="BQ233" i="6"/>
  <c r="BQ232" i="6"/>
  <c r="BQ231" i="6"/>
  <c r="CX214" i="6"/>
  <c r="CM214" i="6"/>
  <c r="CB214" i="6"/>
  <c r="BQ208" i="6"/>
  <c r="BQ207" i="6"/>
  <c r="BQ206" i="6"/>
  <c r="BQ205" i="6"/>
  <c r="CX188" i="6"/>
  <c r="CM188" i="6"/>
  <c r="CB188" i="6"/>
  <c r="BQ182" i="6"/>
  <c r="BQ181" i="6"/>
  <c r="BQ180" i="6"/>
  <c r="BQ179" i="6"/>
  <c r="CX162" i="6"/>
  <c r="CM162" i="6"/>
  <c r="CB162" i="6"/>
  <c r="BQ156" i="6"/>
  <c r="BQ155" i="6"/>
  <c r="BQ154" i="6"/>
  <c r="BQ153" i="6"/>
  <c r="CX136" i="6"/>
  <c r="CM136" i="6"/>
  <c r="CB136" i="6"/>
  <c r="BQ130" i="6"/>
  <c r="BQ129" i="6"/>
  <c r="BQ128" i="6"/>
  <c r="BQ127" i="6"/>
  <c r="CX110" i="6"/>
  <c r="CM110" i="6"/>
  <c r="CB110" i="6"/>
  <c r="BQ104" i="6"/>
  <c r="BQ103" i="6"/>
  <c r="BQ102" i="6"/>
  <c r="BQ101" i="6"/>
  <c r="CX84" i="6"/>
  <c r="CM84" i="6"/>
  <c r="CB84" i="6"/>
  <c r="BA101" i="16" a="1"/>
  <c r="BA104" i="16" s="1"/>
  <c r="AZ101" i="16" a="1"/>
  <c r="AZ106" i="16" s="1"/>
  <c r="L53" i="6"/>
  <c r="AS30" i="6"/>
  <c r="AH30" i="6"/>
  <c r="Q30" i="6"/>
  <c r="AG101" i="16" a="1"/>
  <c r="AG101" i="16" s="1"/>
  <c r="AF101" i="16" a="1"/>
  <c r="AF103" i="16" s="1"/>
  <c r="BO33" i="6"/>
  <c r="CX30" i="6"/>
  <c r="CM30" i="6"/>
  <c r="CB30" i="6"/>
  <c r="J33" i="6"/>
  <c r="M93" i="16"/>
  <c r="L93" i="16"/>
  <c r="K93" i="16"/>
  <c r="J93" i="16"/>
  <c r="F93" i="16"/>
  <c r="E93" i="16"/>
  <c r="D93" i="16"/>
  <c r="C93" i="16"/>
  <c r="I88" i="16"/>
  <c r="B88" i="16"/>
  <c r="H85" i="16"/>
  <c r="A85" i="16"/>
  <c r="M81" i="16"/>
  <c r="L81" i="16"/>
  <c r="K81" i="16"/>
  <c r="J81" i="16"/>
  <c r="F81" i="16"/>
  <c r="E81" i="16"/>
  <c r="D81" i="16"/>
  <c r="C81" i="16"/>
  <c r="M63" i="16"/>
  <c r="L63" i="16"/>
  <c r="K63" i="16"/>
  <c r="J63" i="16"/>
  <c r="F63" i="16"/>
  <c r="E63" i="16"/>
  <c r="D63" i="16"/>
  <c r="C63" i="16"/>
  <c r="I44" i="16"/>
  <c r="B44" i="16"/>
  <c r="H41" i="16"/>
  <c r="A41" i="16"/>
  <c r="I88" i="14"/>
  <c r="B88" i="14"/>
  <c r="M63" i="14"/>
  <c r="F63" i="14"/>
  <c r="M81" i="14"/>
  <c r="F81" i="14"/>
  <c r="L81" i="14"/>
  <c r="K81" i="14"/>
  <c r="J81" i="14"/>
  <c r="E81" i="14"/>
  <c r="D81" i="14"/>
  <c r="C81" i="14"/>
  <c r="L63" i="14"/>
  <c r="K63" i="14"/>
  <c r="J63" i="14"/>
  <c r="E63" i="14"/>
  <c r="D63" i="14"/>
  <c r="C63" i="14"/>
  <c r="AZ101" i="14" a="1"/>
  <c r="AZ101" i="14" s="1"/>
  <c r="AF101" i="14" a="1"/>
  <c r="AF108" i="14" s="1"/>
  <c r="I101" i="14"/>
  <c r="B101" i="14"/>
  <c r="BN25" i="6"/>
  <c r="I44" i="14"/>
  <c r="B44" i="14"/>
  <c r="H41" i="14"/>
  <c r="A41" i="14"/>
  <c r="H85" i="14"/>
  <c r="A85" i="14"/>
  <c r="C93" i="14"/>
  <c r="D93" i="14"/>
  <c r="E93" i="14"/>
  <c r="F93" i="14"/>
  <c r="J93" i="14"/>
  <c r="K93" i="14"/>
  <c r="L93" i="14"/>
  <c r="M93" i="14"/>
  <c r="AS57" i="6"/>
  <c r="AH57" i="6"/>
  <c r="BI60" i="6"/>
  <c r="A34" i="2"/>
  <c r="BO60" i="6"/>
  <c r="BK61" i="6" a="1"/>
  <c r="BK66" i="6" s="1"/>
  <c r="BJ61" i="6" a="1"/>
  <c r="BJ61" i="6" s="1"/>
  <c r="BH61" i="6" a="1"/>
  <c r="BH71" i="6" s="1"/>
  <c r="BL71" i="6" s="1"/>
  <c r="BI75" i="6"/>
  <c r="BH75" i="6"/>
  <c r="BG75" i="6"/>
  <c r="BG65" i="6" s="1"/>
  <c r="BM65" i="6" s="1"/>
  <c r="BQ79" i="6"/>
  <c r="BH63" i="6"/>
  <c r="BL63" i="6" s="1"/>
  <c r="BG64" i="6"/>
  <c r="BM64" i="6" s="1"/>
  <c r="BO6" i="6"/>
  <c r="J6" i="6"/>
  <c r="A43" i="2"/>
  <c r="A79" i="2"/>
  <c r="A53" i="2"/>
  <c r="A47" i="2"/>
  <c r="A42" i="2"/>
  <c r="A83" i="2"/>
  <c r="A82" i="2"/>
  <c r="A81" i="2"/>
  <c r="A80" i="2"/>
  <c r="A77" i="2"/>
  <c r="A76" i="2"/>
  <c r="A75" i="2"/>
  <c r="A74" i="2"/>
  <c r="A73" i="2"/>
  <c r="A71" i="2"/>
  <c r="A70" i="2"/>
  <c r="A69" i="2"/>
  <c r="A68" i="2"/>
  <c r="A67" i="2"/>
  <c r="A65" i="2"/>
  <c r="A64" i="2"/>
  <c r="A63" i="2"/>
  <c r="A61" i="2"/>
  <c r="A60" i="2"/>
  <c r="A59" i="2"/>
  <c r="A57" i="2"/>
  <c r="A56" i="2"/>
  <c r="A55" i="2"/>
  <c r="A54" i="2"/>
  <c r="A51" i="2"/>
  <c r="A50" i="2"/>
  <c r="A49" i="2"/>
  <c r="A45" i="2"/>
  <c r="A44" i="2"/>
  <c r="AG101" i="14" a="1"/>
  <c r="AG111" i="14" s="1"/>
  <c r="BA101" i="14" a="1"/>
  <c r="BA107" i="14" s="1"/>
  <c r="N75" i="6"/>
  <c r="BG72" i="6" l="1"/>
  <c r="BM72" i="6" s="1"/>
  <c r="BH72" i="6"/>
  <c r="BL72" i="6" s="1"/>
  <c r="BG62" i="6"/>
  <c r="BG66" i="6"/>
  <c r="BM66" i="6" s="1"/>
  <c r="BH67" i="6"/>
  <c r="BL67" i="6" s="1"/>
  <c r="BG70" i="6"/>
  <c r="BM70" i="6" s="1"/>
  <c r="BG67" i="6"/>
  <c r="BM67" i="6" s="1"/>
  <c r="BH61" i="6"/>
  <c r="BL61" i="6" s="1"/>
  <c r="I4" i="18"/>
  <c r="A4" i="18" s="1"/>
  <c r="I61" i="6" s="1" a="1"/>
  <c r="L77" i="6"/>
  <c r="BJ68" i="6"/>
  <c r="BJ64" i="6"/>
  <c r="BJ72" i="6"/>
  <c r="BJ66" i="6"/>
  <c r="BJ67" i="6"/>
  <c r="BJ62" i="6"/>
  <c r="BJ70" i="6"/>
  <c r="BJ63" i="6"/>
  <c r="N77" i="6"/>
  <c r="BQ105" i="6"/>
  <c r="BQ131" i="6"/>
  <c r="BQ157" i="6"/>
  <c r="BQ183" i="6"/>
  <c r="BQ209" i="6"/>
  <c r="BQ235" i="6"/>
  <c r="BQ261" i="6"/>
  <c r="BQ287" i="6"/>
  <c r="BQ313" i="6"/>
  <c r="BQ339" i="6"/>
  <c r="BQ365" i="6"/>
  <c r="BQ391" i="6"/>
  <c r="BG68" i="6"/>
  <c r="BM68" i="6" s="1"/>
  <c r="BG71" i="6"/>
  <c r="BM71" i="6" s="1"/>
  <c r="BG61" i="6"/>
  <c r="BG73" i="6"/>
  <c r="BI73" i="6" s="1"/>
  <c r="BH69" i="6"/>
  <c r="BL69" i="6" s="1"/>
  <c r="BH64" i="6"/>
  <c r="BL64" i="6" s="1"/>
  <c r="BH66" i="6"/>
  <c r="BL66" i="6" s="1"/>
  <c r="BH62" i="6"/>
  <c r="BL62" i="6" s="1"/>
  <c r="BH65" i="6"/>
  <c r="BL65" i="6" s="1"/>
  <c r="BH68" i="6"/>
  <c r="BL68" i="6" s="1"/>
  <c r="BG69" i="6"/>
  <c r="BM69" i="6" s="1"/>
  <c r="BG63" i="6"/>
  <c r="BM63" i="6" s="1"/>
  <c r="BH70" i="6"/>
  <c r="BL70" i="6" s="1"/>
  <c r="BJ69" i="6"/>
  <c r="BJ71" i="6"/>
  <c r="BJ65" i="6"/>
  <c r="V17" i="16"/>
  <c r="BM49" i="6" s="1"/>
  <c r="AV57" i="6"/>
  <c r="AV76" i="6" s="1"/>
  <c r="AV77" i="6" s="1"/>
  <c r="AV78" i="6" s="1"/>
  <c r="CE3" i="6"/>
  <c r="CE22" i="6" s="1"/>
  <c r="CE23" i="6" s="1"/>
  <c r="L47" i="6"/>
  <c r="BQ47" i="6" s="1"/>
  <c r="L48" i="6"/>
  <c r="AK30" i="6"/>
  <c r="AK49" i="6" s="1"/>
  <c r="AK50" i="6" s="1"/>
  <c r="O3" i="6"/>
  <c r="O22" i="6" s="1"/>
  <c r="O23" i="6" s="1"/>
  <c r="Z3" i="6"/>
  <c r="Z22" i="6" s="1"/>
  <c r="Z23" i="6" s="1"/>
  <c r="AV3" i="6"/>
  <c r="AV22" i="6" s="1"/>
  <c r="AV23" i="6" s="1"/>
  <c r="BK72" i="6"/>
  <c r="BK67" i="6"/>
  <c r="BK69" i="6"/>
  <c r="BK71" i="6"/>
  <c r="Z30" i="6"/>
  <c r="Z49" i="6" s="1"/>
  <c r="Z50" i="6" s="1"/>
  <c r="BK62" i="6"/>
  <c r="BK64" i="6"/>
  <c r="BK70" i="6"/>
  <c r="BK65" i="6"/>
  <c r="BK61" i="6"/>
  <c r="CP188" i="6"/>
  <c r="CE30" i="6"/>
  <c r="BT49" i="6" s="1"/>
  <c r="BT50" i="6" s="1"/>
  <c r="DA30" i="6"/>
  <c r="DA49" i="6" s="1"/>
  <c r="DA50" i="6" s="1"/>
  <c r="AV30" i="6"/>
  <c r="AV49" i="6" s="1"/>
  <c r="AV50" i="6" s="1"/>
  <c r="CP30" i="6"/>
  <c r="CP49" i="6" s="1"/>
  <c r="CP50" i="6" s="1"/>
  <c r="DA3" i="6"/>
  <c r="DA22" i="6" s="1"/>
  <c r="DA23" i="6" s="1"/>
  <c r="BT3" i="6"/>
  <c r="BT22" i="6" s="1"/>
  <c r="BT23" i="6" s="1"/>
  <c r="AK3" i="6"/>
  <c r="AK22" i="6" s="1"/>
  <c r="AK23" i="6" s="1"/>
  <c r="CP3" i="6"/>
  <c r="CP22" i="6" s="1"/>
  <c r="CP23" i="6" s="1"/>
  <c r="BK68" i="6"/>
  <c r="BK63" i="6"/>
  <c r="O30" i="6"/>
  <c r="O49" i="6" s="1"/>
  <c r="O50" i="6" s="1"/>
  <c r="BG38" i="6"/>
  <c r="I106" i="16" s="1"/>
  <c r="B35" i="6"/>
  <c r="B103" i="16" s="1"/>
  <c r="BG11" i="6"/>
  <c r="I106" i="14" s="1"/>
  <c r="B17" i="6"/>
  <c r="D17" i="6" s="1"/>
  <c r="B44" i="6"/>
  <c r="B112" i="16" s="1"/>
  <c r="D33" i="6"/>
  <c r="H33" i="6" s="1"/>
  <c r="B40" i="6"/>
  <c r="B37" i="6"/>
  <c r="DA76" i="6"/>
  <c r="DA77" i="6" s="1"/>
  <c r="V17" i="14"/>
  <c r="BM22" i="6" s="1"/>
  <c r="BN23" i="6" s="1"/>
  <c r="B19" i="6"/>
  <c r="D19" i="6" s="1"/>
  <c r="D6" i="6"/>
  <c r="H6" i="6" s="1"/>
  <c r="B11" i="6"/>
  <c r="B106" i="14" s="1"/>
  <c r="B9" i="6"/>
  <c r="B104" i="14" s="1"/>
  <c r="B8" i="6"/>
  <c r="B7" i="6"/>
  <c r="B102" i="14" s="1"/>
  <c r="B13" i="6"/>
  <c r="B18" i="6"/>
  <c r="D18" i="6" s="1"/>
  <c r="B16" i="6"/>
  <c r="B111" i="14" s="1"/>
  <c r="B12" i="6"/>
  <c r="B14" i="6"/>
  <c r="S24" i="14" a="1"/>
  <c r="T24" i="16" a="1"/>
  <c r="B15" i="6"/>
  <c r="AG104" i="14"/>
  <c r="AG108" i="14"/>
  <c r="B10" i="6"/>
  <c r="AG113" i="14"/>
  <c r="BM60" i="6"/>
  <c r="V11" i="14"/>
  <c r="L21" i="6"/>
  <c r="L20" i="6"/>
  <c r="AF101" i="14"/>
  <c r="AF109" i="14"/>
  <c r="AF102" i="14"/>
  <c r="AF110" i="14"/>
  <c r="AF103" i="14"/>
  <c r="AF111" i="14"/>
  <c r="AF104" i="14"/>
  <c r="AF112" i="14"/>
  <c r="AF105" i="14"/>
  <c r="AF113" i="14"/>
  <c r="AF106" i="14"/>
  <c r="AF107" i="14"/>
  <c r="AG105" i="14"/>
  <c r="AG102" i="14"/>
  <c r="AG106" i="14"/>
  <c r="AG107" i="14"/>
  <c r="AG101" i="14"/>
  <c r="AG109" i="14"/>
  <c r="AG112" i="14"/>
  <c r="AG110" i="14"/>
  <c r="AG103" i="14"/>
  <c r="B46" i="6"/>
  <c r="D46" i="6" s="1"/>
  <c r="AF110" i="16"/>
  <c r="AF108" i="16"/>
  <c r="B43" i="6"/>
  <c r="B39" i="6"/>
  <c r="B36" i="6"/>
  <c r="AF102" i="16"/>
  <c r="B34" i="6"/>
  <c r="B42" i="6"/>
  <c r="B38" i="6"/>
  <c r="B45" i="6"/>
  <c r="B41" i="6"/>
  <c r="AF109" i="16"/>
  <c r="AF101" i="16"/>
  <c r="AG107" i="16"/>
  <c r="AG106" i="16"/>
  <c r="AF107" i="16"/>
  <c r="AG113" i="16"/>
  <c r="AG105" i="16"/>
  <c r="AF106" i="16"/>
  <c r="AG112" i="16"/>
  <c r="AG104" i="16"/>
  <c r="AG108" i="16"/>
  <c r="AF113" i="16"/>
  <c r="AF105" i="16"/>
  <c r="AG111" i="16"/>
  <c r="AG103" i="16"/>
  <c r="AF112" i="16"/>
  <c r="AF104" i="16"/>
  <c r="AG110" i="16"/>
  <c r="AG102" i="16"/>
  <c r="AF111" i="16"/>
  <c r="AG109" i="16"/>
  <c r="AZ110" i="16"/>
  <c r="AZ102" i="16"/>
  <c r="AZ108" i="16"/>
  <c r="BG45" i="6"/>
  <c r="BI45" i="6" s="1"/>
  <c r="BG42" i="6"/>
  <c r="I110" i="16" s="1"/>
  <c r="BG37" i="6"/>
  <c r="I105" i="16" s="1"/>
  <c r="BA108" i="16"/>
  <c r="BG46" i="6"/>
  <c r="BI46" i="6" s="1"/>
  <c r="AZ105" i="16"/>
  <c r="BG36" i="6"/>
  <c r="I104" i="16" s="1"/>
  <c r="BG44" i="6"/>
  <c r="BA111" i="16"/>
  <c r="BG43" i="6"/>
  <c r="I111" i="16" s="1"/>
  <c r="AZ113" i="16"/>
  <c r="BA103" i="16"/>
  <c r="AZ112" i="16"/>
  <c r="AZ104" i="16"/>
  <c r="BA110" i="16"/>
  <c r="BA102" i="16"/>
  <c r="BG34" i="6"/>
  <c r="BG40" i="6"/>
  <c r="AZ111" i="16"/>
  <c r="AZ103" i="16"/>
  <c r="BA109" i="16"/>
  <c r="BA101" i="16"/>
  <c r="AZ109" i="16"/>
  <c r="AZ101" i="16"/>
  <c r="BA107" i="16"/>
  <c r="BG39" i="6"/>
  <c r="BG35" i="6"/>
  <c r="BA106" i="16"/>
  <c r="AZ107" i="16"/>
  <c r="BA113" i="16"/>
  <c r="BA105" i="16"/>
  <c r="BG41" i="6"/>
  <c r="BA112" i="16"/>
  <c r="BG10" i="6"/>
  <c r="I105" i="14" s="1"/>
  <c r="BA109" i="14"/>
  <c r="AZ111" i="14"/>
  <c r="BA108" i="14"/>
  <c r="AZ108" i="14"/>
  <c r="BA106" i="14"/>
  <c r="AZ106" i="14"/>
  <c r="BG18" i="6"/>
  <c r="I113" i="14" s="1"/>
  <c r="BA112" i="14"/>
  <c r="BA104" i="14"/>
  <c r="AZ103" i="14"/>
  <c r="BA101" i="14"/>
  <c r="BG16" i="6"/>
  <c r="BA113" i="14"/>
  <c r="BA105" i="14"/>
  <c r="AZ107" i="14"/>
  <c r="BG13" i="6"/>
  <c r="BG8" i="6"/>
  <c r="BA111" i="14"/>
  <c r="BA103" i="14"/>
  <c r="AZ113" i="14"/>
  <c r="AZ105" i="14"/>
  <c r="BG19" i="6"/>
  <c r="BI19" i="6" s="1"/>
  <c r="BG15" i="6"/>
  <c r="BA110" i="14"/>
  <c r="BA102" i="14"/>
  <c r="AZ112" i="14"/>
  <c r="AZ104" i="14"/>
  <c r="BG12" i="6"/>
  <c r="BG17" i="6"/>
  <c r="BG9" i="6"/>
  <c r="AZ110" i="14"/>
  <c r="AZ102" i="14"/>
  <c r="BG14" i="6"/>
  <c r="AZ109" i="14"/>
  <c r="BG7" i="6"/>
  <c r="T26" i="16" l="1"/>
  <c r="S28" i="14"/>
  <c r="F7" i="6" a="1"/>
  <c r="F8" i="6" s="1"/>
  <c r="BK34" i="6" a="1"/>
  <c r="BK37" i="6" s="1"/>
  <c r="T24" i="14" a="1"/>
  <c r="T29" i="14" s="1"/>
  <c r="BH34" i="6" a="1"/>
  <c r="BH43" i="6" s="1"/>
  <c r="BL43" i="6" s="1"/>
  <c r="S24" i="16" a="1"/>
  <c r="S33" i="16" s="1"/>
  <c r="BK7" i="6" a="1"/>
  <c r="BK9" i="6" s="1"/>
  <c r="F34" i="6" a="1"/>
  <c r="F41" i="6" s="1"/>
  <c r="BH7" i="6" a="1"/>
  <c r="BH8" i="6" s="1"/>
  <c r="BI8" i="6" s="1"/>
  <c r="C34" i="6" a="1"/>
  <c r="C45" i="6" s="1"/>
  <c r="C7" i="6" a="1"/>
  <c r="C7" i="6" s="1"/>
  <c r="G7" i="6" s="1"/>
  <c r="BI33" i="6"/>
  <c r="BM33" i="6" s="1"/>
  <c r="BN50" i="6"/>
  <c r="I62" i="6"/>
  <c r="I68" i="6"/>
  <c r="J68" i="6" s="1"/>
  <c r="I63" i="6"/>
  <c r="I70" i="6"/>
  <c r="J70" i="6" s="1"/>
  <c r="I66" i="6"/>
  <c r="J66" i="6" s="1"/>
  <c r="I67" i="6"/>
  <c r="J67" i="6" s="1"/>
  <c r="I71" i="6"/>
  <c r="J71" i="6" s="1"/>
  <c r="I72" i="6"/>
  <c r="J72" i="6" s="1"/>
  <c r="I64" i="6"/>
  <c r="I65" i="6"/>
  <c r="I61" i="6"/>
  <c r="I69" i="6"/>
  <c r="J69" i="6" s="1"/>
  <c r="BN61" i="6" a="1"/>
  <c r="BN61" i="6" s="1"/>
  <c r="BO61" i="6" s="1"/>
  <c r="B108" i="16"/>
  <c r="H44" i="6"/>
  <c r="D44" i="6"/>
  <c r="H17" i="6"/>
  <c r="G17" i="6"/>
  <c r="CE188" i="6"/>
  <c r="AK24" i="6"/>
  <c r="AK25" i="6" s="1"/>
  <c r="G44" i="6"/>
  <c r="L49" i="6"/>
  <c r="L51" i="6" s="1"/>
  <c r="CE214" i="6"/>
  <c r="CP266" i="6"/>
  <c r="CP370" i="6"/>
  <c r="CP162" i="6"/>
  <c r="CE318" i="6"/>
  <c r="CE110" i="6"/>
  <c r="CE49" i="6"/>
  <c r="CE50" i="6" s="1"/>
  <c r="CP292" i="6"/>
  <c r="CP84" i="6"/>
  <c r="CE292" i="6"/>
  <c r="CE84" i="6"/>
  <c r="CP344" i="6"/>
  <c r="CP240" i="6"/>
  <c r="CP136" i="6"/>
  <c r="CE370" i="6"/>
  <c r="CE266" i="6"/>
  <c r="CE162" i="6"/>
  <c r="CP318" i="6"/>
  <c r="CP214" i="6"/>
  <c r="CP110" i="6"/>
  <c r="BT57" i="6"/>
  <c r="BT76" i="6" s="1"/>
  <c r="BT77" i="6" s="1"/>
  <c r="CE344" i="6"/>
  <c r="CE240" i="6"/>
  <c r="CE136" i="6"/>
  <c r="Z57" i="6"/>
  <c r="BT344" i="6"/>
  <c r="BT292" i="6"/>
  <c r="BT240" i="6"/>
  <c r="BT188" i="6"/>
  <c r="BT136" i="6"/>
  <c r="BT84" i="6"/>
  <c r="CP57" i="6"/>
  <c r="CP76" i="6" s="1"/>
  <c r="CP77" i="6" s="1"/>
  <c r="AK57" i="6"/>
  <c r="DA370" i="6"/>
  <c r="DA318" i="6"/>
  <c r="DA266" i="6"/>
  <c r="DA214" i="6"/>
  <c r="DA162" i="6"/>
  <c r="DA110" i="6"/>
  <c r="CE57" i="6"/>
  <c r="CE76" i="6" s="1"/>
  <c r="CE77" i="6" s="1"/>
  <c r="BT370" i="6"/>
  <c r="BT318" i="6"/>
  <c r="BT266" i="6"/>
  <c r="BT214" i="6"/>
  <c r="BT162" i="6"/>
  <c r="BT110" i="6"/>
  <c r="DA344" i="6"/>
  <c r="DA292" i="6"/>
  <c r="DA240" i="6"/>
  <c r="DA188" i="6"/>
  <c r="DA136" i="6"/>
  <c r="DA84" i="6"/>
  <c r="BQ48" i="6"/>
  <c r="C17" i="16"/>
  <c r="AK51" i="6"/>
  <c r="Z51" i="6"/>
  <c r="O51" i="6"/>
  <c r="AV51" i="6"/>
  <c r="K32" i="6"/>
  <c r="G18" i="6"/>
  <c r="B112" i="14"/>
  <c r="BM76" i="6"/>
  <c r="BN77" i="6" s="1"/>
  <c r="B105" i="16"/>
  <c r="BI6" i="6"/>
  <c r="BM6" i="6" s="1"/>
  <c r="B103" i="14"/>
  <c r="BI18" i="6"/>
  <c r="BI61" i="6" a="1"/>
  <c r="BI71" i="6" s="1"/>
  <c r="AV79" i="6"/>
  <c r="G14" i="6"/>
  <c r="B109" i="14"/>
  <c r="B107" i="14"/>
  <c r="D16" i="6"/>
  <c r="G16" i="6"/>
  <c r="H16" i="6"/>
  <c r="H18" i="6"/>
  <c r="B113" i="14"/>
  <c r="B108" i="14"/>
  <c r="D14" i="6"/>
  <c r="S35" i="14"/>
  <c r="T32" i="16"/>
  <c r="T25" i="16"/>
  <c r="T31" i="16"/>
  <c r="S31" i="14"/>
  <c r="T24" i="16"/>
  <c r="S30" i="14"/>
  <c r="S32" i="14"/>
  <c r="T27" i="16"/>
  <c r="T28" i="16"/>
  <c r="S29" i="14"/>
  <c r="S25" i="14"/>
  <c r="T35" i="16"/>
  <c r="S27" i="14"/>
  <c r="T29" i="16"/>
  <c r="T30" i="16"/>
  <c r="T33" i="16"/>
  <c r="S33" i="14"/>
  <c r="S26" i="14"/>
  <c r="T34" i="16"/>
  <c r="S24" i="14"/>
  <c r="S34" i="14"/>
  <c r="B105" i="14"/>
  <c r="G15" i="6"/>
  <c r="H15" i="6"/>
  <c r="D15" i="6"/>
  <c r="B110" i="14"/>
  <c r="AV24" i="6"/>
  <c r="AV25" i="6" s="1"/>
  <c r="BQ21" i="6"/>
  <c r="Z24" i="6"/>
  <c r="Z25" i="6" s="1"/>
  <c r="BQ75" i="6"/>
  <c r="O24" i="6"/>
  <c r="O25" i="6" s="1"/>
  <c r="C17" i="14"/>
  <c r="L22" i="6"/>
  <c r="L24" i="6" s="1"/>
  <c r="K5" i="6"/>
  <c r="BQ74" i="6"/>
  <c r="BQ20" i="6"/>
  <c r="B106" i="16"/>
  <c r="H42" i="6"/>
  <c r="D42" i="6"/>
  <c r="B110" i="16"/>
  <c r="G42" i="6"/>
  <c r="D45" i="6"/>
  <c r="G45" i="6"/>
  <c r="H45" i="6"/>
  <c r="B113" i="16"/>
  <c r="D41" i="6"/>
  <c r="G41" i="6"/>
  <c r="B109" i="16"/>
  <c r="B104" i="16"/>
  <c r="B107" i="16"/>
  <c r="H43" i="6"/>
  <c r="D43" i="6"/>
  <c r="B111" i="16"/>
  <c r="G43" i="6"/>
  <c r="B102" i="16"/>
  <c r="I113" i="16"/>
  <c r="BM45" i="6"/>
  <c r="BI43" i="6"/>
  <c r="BI44" i="6"/>
  <c r="I112" i="16"/>
  <c r="BI36" i="6"/>
  <c r="I107" i="16"/>
  <c r="BI39" i="6"/>
  <c r="BI42" i="6"/>
  <c r="BI35" i="6"/>
  <c r="I103" i="16"/>
  <c r="BI41" i="6"/>
  <c r="I109" i="16"/>
  <c r="BI38" i="6"/>
  <c r="BI37" i="6"/>
  <c r="BI40" i="6"/>
  <c r="I108" i="16"/>
  <c r="I102" i="16"/>
  <c r="BM18" i="6"/>
  <c r="BM17" i="6"/>
  <c r="BI17" i="6"/>
  <c r="I112" i="14"/>
  <c r="BI16" i="6"/>
  <c r="I111" i="14"/>
  <c r="I107" i="14"/>
  <c r="I109" i="14"/>
  <c r="BI14" i="6"/>
  <c r="BI15" i="6"/>
  <c r="I110" i="14"/>
  <c r="I102" i="14"/>
  <c r="I103" i="14"/>
  <c r="I104" i="14"/>
  <c r="BI13" i="6"/>
  <c r="I108" i="14"/>
  <c r="AV52" i="6" l="1"/>
  <c r="F97" i="16" s="1"/>
  <c r="O52" i="6"/>
  <c r="C97" i="16" s="1"/>
  <c r="Z52" i="6"/>
  <c r="D97" i="16" s="1"/>
  <c r="AK52" i="6"/>
  <c r="E97" i="16" s="1"/>
  <c r="T25" i="14"/>
  <c r="T27" i="14"/>
  <c r="T33" i="14"/>
  <c r="T31" i="14"/>
  <c r="T28" i="14"/>
  <c r="T34" i="14"/>
  <c r="D7" i="6"/>
  <c r="S24" i="16"/>
  <c r="S35" i="16"/>
  <c r="S27" i="16"/>
  <c r="S34" i="16"/>
  <c r="S29" i="16"/>
  <c r="BH42" i="6"/>
  <c r="BL42" i="6" s="1"/>
  <c r="BH41" i="6"/>
  <c r="BL41" i="6" s="1"/>
  <c r="S26" i="16"/>
  <c r="S31" i="16"/>
  <c r="S30" i="16"/>
  <c r="S25" i="16"/>
  <c r="S32" i="16"/>
  <c r="F10" i="6"/>
  <c r="F17" i="6"/>
  <c r="BH38" i="6"/>
  <c r="BL38" i="6" s="1"/>
  <c r="BH45" i="6"/>
  <c r="BL45" i="6" s="1"/>
  <c r="BH36" i="6"/>
  <c r="BL36" i="6" s="1"/>
  <c r="F9" i="6"/>
  <c r="F18" i="6"/>
  <c r="F16" i="6"/>
  <c r="F11" i="6"/>
  <c r="F13" i="6"/>
  <c r="F14" i="6"/>
  <c r="F15" i="6"/>
  <c r="F12" i="6"/>
  <c r="F7" i="6"/>
  <c r="BH13" i="6"/>
  <c r="BL13" i="6" s="1"/>
  <c r="BH35" i="6"/>
  <c r="BL35" i="6" s="1"/>
  <c r="BH34" i="6"/>
  <c r="BH44" i="6"/>
  <c r="BL44" i="6" s="1"/>
  <c r="BH39" i="6"/>
  <c r="BL39" i="6" s="1"/>
  <c r="BH37" i="6"/>
  <c r="BL37" i="6" s="1"/>
  <c r="BK44" i="6"/>
  <c r="BK43" i="6"/>
  <c r="BK42" i="6"/>
  <c r="BK39" i="6"/>
  <c r="BK41" i="6"/>
  <c r="BH40" i="6"/>
  <c r="BL40" i="6" s="1"/>
  <c r="BH10" i="6"/>
  <c r="BI10" i="6" s="1"/>
  <c r="BH7" i="6"/>
  <c r="BL8" i="6" s="1"/>
  <c r="BH15" i="6"/>
  <c r="BL15" i="6" s="1"/>
  <c r="BH9" i="6"/>
  <c r="BI9" i="6" s="1"/>
  <c r="BH12" i="6"/>
  <c r="BH11" i="6"/>
  <c r="BI11" i="6" s="1"/>
  <c r="C43" i="6"/>
  <c r="BK35" i="6"/>
  <c r="BH17" i="6"/>
  <c r="BL17" i="6" s="1"/>
  <c r="BH18" i="6"/>
  <c r="BL18" i="6" s="1"/>
  <c r="BH14" i="6"/>
  <c r="BL14" i="6" s="1"/>
  <c r="BH16" i="6"/>
  <c r="BL16" i="6" s="1"/>
  <c r="BK36" i="6"/>
  <c r="BK34" i="6"/>
  <c r="C41" i="6"/>
  <c r="BK38" i="6"/>
  <c r="BK40" i="6"/>
  <c r="BK45" i="6"/>
  <c r="BK16" i="6"/>
  <c r="C44" i="6"/>
  <c r="BK14" i="6"/>
  <c r="C17" i="6"/>
  <c r="BK8" i="6"/>
  <c r="C15" i="6"/>
  <c r="BK15" i="6"/>
  <c r="C14" i="6"/>
  <c r="BK12" i="6"/>
  <c r="BK17" i="6"/>
  <c r="C8" i="6"/>
  <c r="C9" i="6"/>
  <c r="D9" i="6" s="1"/>
  <c r="C37" i="6"/>
  <c r="D37" i="6" s="1"/>
  <c r="C10" i="6"/>
  <c r="D10" i="6" s="1"/>
  <c r="BK10" i="6"/>
  <c r="C11" i="6"/>
  <c r="D11" i="6" s="1"/>
  <c r="C12" i="6"/>
  <c r="D12" i="6" s="1"/>
  <c r="BK7" i="6"/>
  <c r="C13" i="6"/>
  <c r="D13" i="6" s="1"/>
  <c r="C38" i="6"/>
  <c r="D38" i="6" s="1"/>
  <c r="F40" i="6"/>
  <c r="F44" i="6"/>
  <c r="F38" i="6"/>
  <c r="F42" i="6"/>
  <c r="F39" i="6"/>
  <c r="F37" i="6"/>
  <c r="F45" i="6"/>
  <c r="T35" i="14"/>
  <c r="T26" i="14"/>
  <c r="C42" i="6"/>
  <c r="F35" i="6"/>
  <c r="C16" i="6"/>
  <c r="BK18" i="6"/>
  <c r="S28" i="16"/>
  <c r="F34" i="6"/>
  <c r="T24" i="14"/>
  <c r="T32" i="14"/>
  <c r="F36" i="6"/>
  <c r="F43" i="6"/>
  <c r="BK13" i="6"/>
  <c r="T30" i="14"/>
  <c r="C18" i="6"/>
  <c r="BK11" i="6"/>
  <c r="C40" i="6"/>
  <c r="D40" i="6" s="1"/>
  <c r="C36" i="6"/>
  <c r="D36" i="6" s="1"/>
  <c r="C34" i="6"/>
  <c r="C39" i="6"/>
  <c r="D39" i="6" s="1"/>
  <c r="C35" i="6"/>
  <c r="D35" i="6" s="1"/>
  <c r="J61" i="6"/>
  <c r="I75" i="6"/>
  <c r="Z81" i="6" s="1"/>
  <c r="J63" i="6"/>
  <c r="J65" i="6"/>
  <c r="J64" i="6"/>
  <c r="J62" i="6"/>
  <c r="BN70" i="6"/>
  <c r="BO70" i="6" s="1"/>
  <c r="BN71" i="6"/>
  <c r="BO71" i="6" s="1"/>
  <c r="BN63" i="6"/>
  <c r="BO63" i="6" s="1"/>
  <c r="BN65" i="6"/>
  <c r="BO65" i="6" s="1"/>
  <c r="BN66" i="6"/>
  <c r="BO66" i="6" s="1"/>
  <c r="BN69" i="6"/>
  <c r="BO69" i="6" s="1"/>
  <c r="BN67" i="6"/>
  <c r="BO67" i="6" s="1"/>
  <c r="BN62" i="6"/>
  <c r="BO62" i="6" s="1"/>
  <c r="BN68" i="6"/>
  <c r="BO68" i="6" s="1"/>
  <c r="BN72" i="6"/>
  <c r="BO72" i="6" s="1"/>
  <c r="BN64" i="6"/>
  <c r="BO64" i="6" s="1"/>
  <c r="BN78" i="6"/>
  <c r="BI34" i="6"/>
  <c r="BM36" i="6" s="1"/>
  <c r="DA51" i="6"/>
  <c r="AK76" i="6"/>
  <c r="AK77" i="6" s="1"/>
  <c r="AK78" i="6" s="1"/>
  <c r="AK79" i="6" s="1"/>
  <c r="Z76" i="6"/>
  <c r="Z77" i="6" s="1"/>
  <c r="CE51" i="6"/>
  <c r="CE52" i="6" s="1"/>
  <c r="CP51" i="6"/>
  <c r="BT51" i="6"/>
  <c r="BP32" i="6"/>
  <c r="J17" i="16"/>
  <c r="BQ50" i="6"/>
  <c r="BQ49" i="6" s="1"/>
  <c r="BI66" i="6"/>
  <c r="BI63" i="6"/>
  <c r="BI64" i="6"/>
  <c r="BI70" i="6"/>
  <c r="BI68" i="6"/>
  <c r="BI62" i="6"/>
  <c r="BI72" i="6"/>
  <c r="BI67" i="6"/>
  <c r="BI69" i="6"/>
  <c r="BI65" i="6"/>
  <c r="BI61" i="6"/>
  <c r="BM61" i="6" s="1"/>
  <c r="Q102" i="14" a="1"/>
  <c r="BT78" i="6"/>
  <c r="BT79" i="6" s="1"/>
  <c r="CP78" i="6"/>
  <c r="CP79" i="6" s="1"/>
  <c r="CE78" i="6"/>
  <c r="CE79" i="6" s="1"/>
  <c r="DA78" i="6"/>
  <c r="DA79" i="6" s="1"/>
  <c r="BP59" i="6"/>
  <c r="BQ59" i="6" s="1" a="1"/>
  <c r="BQ76" i="6"/>
  <c r="BQ78" i="6" s="1"/>
  <c r="D97" i="14"/>
  <c r="CE24" i="6"/>
  <c r="BP5" i="6"/>
  <c r="BT24" i="6"/>
  <c r="BQ23" i="6"/>
  <c r="BQ22" i="6" s="1"/>
  <c r="J17" i="14"/>
  <c r="CP24" i="6"/>
  <c r="DA24" i="6"/>
  <c r="F97" i="14"/>
  <c r="C97" i="14"/>
  <c r="E97" i="14"/>
  <c r="BM37" i="6"/>
  <c r="BM42" i="6"/>
  <c r="BM44" i="6"/>
  <c r="BM38" i="6"/>
  <c r="BM43" i="6"/>
  <c r="BM41" i="6"/>
  <c r="BM40" i="6"/>
  <c r="BM39" i="6"/>
  <c r="BM16" i="6"/>
  <c r="BM15" i="6"/>
  <c r="BM14" i="6"/>
  <c r="BL12" i="6" l="1"/>
  <c r="BI12" i="6"/>
  <c r="BJ7" i="6" a="1"/>
  <c r="BJ13" i="6" s="1"/>
  <c r="BL34" i="6"/>
  <c r="BJ34" i="6" a="1"/>
  <c r="G35" i="6"/>
  <c r="AK102" i="16" a="1"/>
  <c r="E7" i="6" a="1"/>
  <c r="E12" i="6" s="1"/>
  <c r="AK102" i="14" a="1"/>
  <c r="Q102" i="16" a="1"/>
  <c r="Q111" i="16" s="1"/>
  <c r="E34" i="6" a="1"/>
  <c r="E34" i="6" s="1"/>
  <c r="G37" i="6"/>
  <c r="D34" i="6"/>
  <c r="G39" i="6"/>
  <c r="G34" i="6"/>
  <c r="G36" i="6"/>
  <c r="G40" i="6"/>
  <c r="G38" i="6"/>
  <c r="G13" i="6"/>
  <c r="G12" i="6"/>
  <c r="G10" i="6"/>
  <c r="H7" i="6"/>
  <c r="G11" i="6"/>
  <c r="BI7" i="6"/>
  <c r="D8" i="6"/>
  <c r="H8" i="6" s="1"/>
  <c r="G8" i="6"/>
  <c r="G9" i="6"/>
  <c r="BL7" i="6"/>
  <c r="BH48" i="6" a="1"/>
  <c r="BH48" i="6" s="1"/>
  <c r="J37" i="16" s="1"/>
  <c r="BL11" i="6"/>
  <c r="Q109" i="16"/>
  <c r="BH21" i="6" a="1"/>
  <c r="BH21" i="6" s="1"/>
  <c r="J37" i="14" s="1"/>
  <c r="Q113" i="14"/>
  <c r="BL10" i="6"/>
  <c r="AL101" i="14" s="1" a="1"/>
  <c r="AL101" i="14" s="1"/>
  <c r="C48" i="6" a="1"/>
  <c r="C48" i="6" s="1"/>
  <c r="C37" i="16" s="1"/>
  <c r="BL9" i="6"/>
  <c r="C21" i="6" a="1"/>
  <c r="C21" i="6" s="1"/>
  <c r="C37" i="14" s="1"/>
  <c r="BT52" i="6"/>
  <c r="J97" i="16" s="1"/>
  <c r="K97" i="16"/>
  <c r="DA52" i="6"/>
  <c r="M97" i="16" s="1"/>
  <c r="CP52" i="6"/>
  <c r="L97" i="16" s="1"/>
  <c r="BM35" i="6"/>
  <c r="BM34" i="6"/>
  <c r="BI48" i="6" a="1"/>
  <c r="BI48" i="6" s="1"/>
  <c r="BP33" i="6" s="1" a="1"/>
  <c r="CE25" i="6"/>
  <c r="K97" i="14" s="1"/>
  <c r="DA25" i="6"/>
  <c r="M97" i="14" s="1"/>
  <c r="BT25" i="6"/>
  <c r="J97" i="14" s="1"/>
  <c r="CP25" i="6"/>
  <c r="L97" i="14" s="1"/>
  <c r="AV81" i="6"/>
  <c r="AU60" i="6" a="1"/>
  <c r="AK81" i="6"/>
  <c r="Y60" i="6" a="1"/>
  <c r="AJ60" i="6" a="1"/>
  <c r="BN75" i="6"/>
  <c r="CZ60" i="6" s="1" a="1"/>
  <c r="Z78" i="6"/>
  <c r="Z79" i="6" s="1"/>
  <c r="R101" i="14" a="1"/>
  <c r="R101" i="14" s="1"/>
  <c r="M24" i="16" a="1"/>
  <c r="M34" i="16" s="1"/>
  <c r="BM62" i="6"/>
  <c r="BP60" i="6" s="1" a="1"/>
  <c r="AL101" i="16" a="1"/>
  <c r="AL108" i="16" s="1"/>
  <c r="AK111" i="16"/>
  <c r="AK109" i="16"/>
  <c r="AK103" i="16"/>
  <c r="AK110" i="16"/>
  <c r="AK105" i="16"/>
  <c r="AK104" i="16"/>
  <c r="AK106" i="16"/>
  <c r="Q113" i="16"/>
  <c r="Q102" i="16"/>
  <c r="AK102" i="16"/>
  <c r="AK113" i="16"/>
  <c r="AK112" i="16"/>
  <c r="Q103" i="16"/>
  <c r="Q107" i="16"/>
  <c r="AK108" i="16"/>
  <c r="Q110" i="16"/>
  <c r="Q112" i="16"/>
  <c r="Q104" i="16"/>
  <c r="AK107" i="16"/>
  <c r="Q106" i="16"/>
  <c r="Q111" i="14"/>
  <c r="Q102" i="14"/>
  <c r="Q103" i="14"/>
  <c r="Q108" i="14"/>
  <c r="Q104" i="14"/>
  <c r="Q105" i="14"/>
  <c r="Q106" i="14"/>
  <c r="Q109" i="14"/>
  <c r="Q112" i="14"/>
  <c r="Q110" i="14"/>
  <c r="AK103" i="14"/>
  <c r="AK104" i="14"/>
  <c r="AK112" i="14"/>
  <c r="AK113" i="14"/>
  <c r="AK102" i="14"/>
  <c r="AK107" i="14"/>
  <c r="AK105" i="14"/>
  <c r="AK109" i="14"/>
  <c r="AK108" i="14"/>
  <c r="AK110" i="14"/>
  <c r="AK106" i="14"/>
  <c r="AK111" i="14"/>
  <c r="Q107" i="14"/>
  <c r="BQ59" i="6"/>
  <c r="CE81" i="6"/>
  <c r="BJ18" i="6" l="1"/>
  <c r="BJ17" i="6"/>
  <c r="BM12" i="6"/>
  <c r="BM13" i="6"/>
  <c r="BJ8" i="6"/>
  <c r="BJ11" i="6"/>
  <c r="BJ9" i="6"/>
  <c r="BN7" i="6" s="1" a="1"/>
  <c r="BN8" i="6" s="1"/>
  <c r="BJ15" i="6"/>
  <c r="BJ16" i="6"/>
  <c r="BJ10" i="6"/>
  <c r="BJ12" i="6"/>
  <c r="BJ14" i="6"/>
  <c r="BJ7" i="6"/>
  <c r="BM9" i="6"/>
  <c r="BM11" i="6"/>
  <c r="BJ42" i="6"/>
  <c r="BJ44" i="6"/>
  <c r="BJ40" i="6"/>
  <c r="BJ35" i="6"/>
  <c r="BJ37" i="6"/>
  <c r="BJ38" i="6"/>
  <c r="BJ43" i="6"/>
  <c r="BJ45" i="6"/>
  <c r="BJ41" i="6"/>
  <c r="BJ34" i="6"/>
  <c r="BJ36" i="6"/>
  <c r="BJ39" i="6"/>
  <c r="E11" i="6"/>
  <c r="E15" i="6"/>
  <c r="E7" i="6"/>
  <c r="E9" i="6"/>
  <c r="E16" i="6"/>
  <c r="E13" i="6"/>
  <c r="R101" i="16" a="1"/>
  <c r="E17" i="6"/>
  <c r="E10" i="6"/>
  <c r="Q108" i="16"/>
  <c r="Q105" i="16"/>
  <c r="E18" i="6"/>
  <c r="E14" i="6"/>
  <c r="E8" i="6"/>
  <c r="R108" i="16"/>
  <c r="E38" i="6"/>
  <c r="E42" i="6"/>
  <c r="E35" i="6"/>
  <c r="E37" i="6"/>
  <c r="H40" i="6"/>
  <c r="H39" i="6"/>
  <c r="H41" i="6"/>
  <c r="H37" i="6"/>
  <c r="H38" i="6"/>
  <c r="D48" i="6" a="1"/>
  <c r="D48" i="6" s="1"/>
  <c r="H34" i="6"/>
  <c r="H35" i="6"/>
  <c r="F24" i="16" a="1"/>
  <c r="E45" i="6"/>
  <c r="E40" i="6"/>
  <c r="E39" i="6"/>
  <c r="E43" i="6"/>
  <c r="E44" i="6"/>
  <c r="E36" i="6"/>
  <c r="E41" i="6"/>
  <c r="H36" i="6"/>
  <c r="H14" i="6"/>
  <c r="H13" i="6"/>
  <c r="H12" i="6"/>
  <c r="H11" i="6"/>
  <c r="M24" i="14" a="1"/>
  <c r="M30" i="14" s="1"/>
  <c r="BI21" i="6" a="1"/>
  <c r="BI21" i="6" s="1"/>
  <c r="BT80" i="6" s="1"/>
  <c r="BM10" i="6"/>
  <c r="BM8" i="6"/>
  <c r="BM7" i="6"/>
  <c r="F24" i="14" a="1"/>
  <c r="F34" i="14" s="1"/>
  <c r="H9" i="6"/>
  <c r="K6" i="6" s="1" a="1"/>
  <c r="H10" i="6"/>
  <c r="D21" i="6" a="1"/>
  <c r="D21" i="6" s="1"/>
  <c r="AV26" i="6" s="1"/>
  <c r="F95" i="14" s="1"/>
  <c r="DA53" i="6"/>
  <c r="M95" i="16" s="1"/>
  <c r="CE53" i="6"/>
  <c r="K95" i="16" s="1"/>
  <c r="BT53" i="6"/>
  <c r="J95" i="16" s="1"/>
  <c r="CP53" i="6"/>
  <c r="L95" i="16" s="1"/>
  <c r="BT81" i="6"/>
  <c r="R110" i="14"/>
  <c r="DA81" i="6"/>
  <c r="CD60" i="6" a="1"/>
  <c r="CD60" i="6" s="1"/>
  <c r="AJ68" i="6"/>
  <c r="AI68" i="6" s="1"/>
  <c r="AJ64" i="6"/>
  <c r="AI64" i="6" s="1"/>
  <c r="AJ65" i="6"/>
  <c r="AI65" i="6" s="1"/>
  <c r="AJ71" i="6"/>
  <c r="AI71" i="6" s="1"/>
  <c r="AJ69" i="6"/>
  <c r="AI69" i="6" s="1"/>
  <c r="AJ67" i="6"/>
  <c r="AI67" i="6" s="1"/>
  <c r="AJ61" i="6"/>
  <c r="AI61" i="6" s="1"/>
  <c r="AJ60" i="6"/>
  <c r="AJ63" i="6"/>
  <c r="AI63" i="6" s="1"/>
  <c r="AJ72" i="6"/>
  <c r="AI72" i="6" s="1"/>
  <c r="AJ70" i="6"/>
  <c r="AI70" i="6" s="1"/>
  <c r="AJ66" i="6"/>
  <c r="AI66" i="6" s="1"/>
  <c r="AJ62" i="6"/>
  <c r="AI62" i="6" s="1"/>
  <c r="Y64" i="6"/>
  <c r="X64" i="6" s="1"/>
  <c r="Y68" i="6"/>
  <c r="X68" i="6" s="1"/>
  <c r="Y69" i="6"/>
  <c r="X69" i="6" s="1"/>
  <c r="Y71" i="6"/>
  <c r="X71" i="6" s="1"/>
  <c r="Y70" i="6"/>
  <c r="X70" i="6" s="1"/>
  <c r="Y62" i="6"/>
  <c r="X62" i="6" s="1"/>
  <c r="Y60" i="6"/>
  <c r="Y65" i="6"/>
  <c r="X65" i="6" s="1"/>
  <c r="Y67" i="6"/>
  <c r="X67" i="6" s="1"/>
  <c r="Y72" i="6"/>
  <c r="X72" i="6" s="1"/>
  <c r="Y63" i="6"/>
  <c r="X63" i="6" s="1"/>
  <c r="Y66" i="6"/>
  <c r="X66" i="6" s="1"/>
  <c r="Y61" i="6"/>
  <c r="X61" i="6" s="1"/>
  <c r="AU64" i="6"/>
  <c r="AT64" i="6" s="1"/>
  <c r="AU60" i="6"/>
  <c r="AU68" i="6"/>
  <c r="AT68" i="6" s="1"/>
  <c r="AU71" i="6"/>
  <c r="AT71" i="6" s="1"/>
  <c r="AU63" i="6"/>
  <c r="AT63" i="6" s="1"/>
  <c r="AU66" i="6"/>
  <c r="AT66" i="6" s="1"/>
  <c r="AU62" i="6"/>
  <c r="AT62" i="6" s="1"/>
  <c r="AU65" i="6"/>
  <c r="AT65" i="6" s="1"/>
  <c r="AU69" i="6"/>
  <c r="AT69" i="6" s="1"/>
  <c r="AU61" i="6"/>
  <c r="AT61" i="6" s="1"/>
  <c r="AU70" i="6"/>
  <c r="AT70" i="6" s="1"/>
  <c r="AU72" i="6"/>
  <c r="AT72" i="6" s="1"/>
  <c r="AU67" i="6"/>
  <c r="AT67" i="6" s="1"/>
  <c r="CO60" i="6" a="1"/>
  <c r="CO63" i="6" s="1"/>
  <c r="CP81" i="6"/>
  <c r="BS60" i="6" a="1"/>
  <c r="BS69" i="6" s="1"/>
  <c r="R106" i="14"/>
  <c r="R107" i="14"/>
  <c r="R109" i="14"/>
  <c r="R111" i="14"/>
  <c r="R113" i="14"/>
  <c r="AL111" i="14"/>
  <c r="AL106" i="14"/>
  <c r="R102" i="14"/>
  <c r="R108" i="14"/>
  <c r="AL113" i="14"/>
  <c r="R104" i="14"/>
  <c r="R105" i="14"/>
  <c r="AL103" i="14"/>
  <c r="R112" i="14"/>
  <c r="AL102" i="14"/>
  <c r="R103" i="14"/>
  <c r="AL109" i="14"/>
  <c r="AL107" i="14"/>
  <c r="AL110" i="14"/>
  <c r="AL104" i="14"/>
  <c r="BP6" i="6" a="1"/>
  <c r="AL113" i="16"/>
  <c r="AL105" i="14"/>
  <c r="AL108" i="14"/>
  <c r="AL112" i="14"/>
  <c r="M26" i="16"/>
  <c r="M29" i="16"/>
  <c r="M28" i="16"/>
  <c r="M96" i="16"/>
  <c r="BP33" i="6"/>
  <c r="BP42" i="6"/>
  <c r="BP43" i="6"/>
  <c r="BP44" i="6"/>
  <c r="M24" i="16"/>
  <c r="M35" i="16"/>
  <c r="M33" i="16"/>
  <c r="BP36" i="6"/>
  <c r="BP39" i="6"/>
  <c r="M31" i="16"/>
  <c r="M27" i="16"/>
  <c r="M25" i="16"/>
  <c r="BP41" i="6"/>
  <c r="J96" i="16"/>
  <c r="BP34" i="6"/>
  <c r="BP35" i="6"/>
  <c r="K96" i="16"/>
  <c r="BP45" i="6"/>
  <c r="BP40" i="6"/>
  <c r="M32" i="16"/>
  <c r="M30" i="16"/>
  <c r="BP38" i="6"/>
  <c r="BP37" i="6"/>
  <c r="L96" i="16"/>
  <c r="J38" i="16"/>
  <c r="BP65" i="6"/>
  <c r="BQ65" i="6" s="1"/>
  <c r="BP67" i="6"/>
  <c r="BQ67" i="6" s="1"/>
  <c r="BP64" i="6"/>
  <c r="BQ64" i="6" s="1"/>
  <c r="BP68" i="6"/>
  <c r="BQ68" i="6" s="1"/>
  <c r="BP72" i="6"/>
  <c r="BQ72" i="6" s="1"/>
  <c r="BP60" i="6"/>
  <c r="BQ60" i="6" s="1"/>
  <c r="BP66" i="6"/>
  <c r="BQ66" i="6" s="1"/>
  <c r="BP71" i="6"/>
  <c r="BQ71" i="6" s="1"/>
  <c r="BP69" i="6"/>
  <c r="BQ69" i="6" s="1"/>
  <c r="BP63" i="6"/>
  <c r="BQ63" i="6" s="1"/>
  <c r="BP70" i="6"/>
  <c r="BQ70" i="6" s="1"/>
  <c r="BP61" i="6"/>
  <c r="BQ61" i="6" s="1"/>
  <c r="BP62" i="6"/>
  <c r="BQ62" i="6" s="1"/>
  <c r="AL109" i="16"/>
  <c r="AL111" i="16"/>
  <c r="AL106" i="16"/>
  <c r="AL110" i="16"/>
  <c r="AL112" i="16"/>
  <c r="AL104" i="16"/>
  <c r="AL102" i="16"/>
  <c r="AL101" i="16"/>
  <c r="AL105" i="16"/>
  <c r="AL107" i="16"/>
  <c r="AL103" i="16"/>
  <c r="CZ67" i="6"/>
  <c r="CZ69" i="6"/>
  <c r="CZ63" i="6"/>
  <c r="CZ66" i="6"/>
  <c r="CZ61" i="6"/>
  <c r="CZ62" i="6"/>
  <c r="CZ70" i="6"/>
  <c r="CZ65" i="6"/>
  <c r="CZ68" i="6"/>
  <c r="CZ60" i="6"/>
  <c r="CZ64" i="6"/>
  <c r="CZ72" i="6"/>
  <c r="CZ71" i="6"/>
  <c r="L59" i="6" a="1"/>
  <c r="BN34" i="6" l="1" a="1"/>
  <c r="I7" i="6" a="1"/>
  <c r="I10" i="6" s="1"/>
  <c r="R103" i="16"/>
  <c r="R110" i="16"/>
  <c r="R104" i="16"/>
  <c r="R112" i="16"/>
  <c r="R106" i="16"/>
  <c r="R102" i="16"/>
  <c r="R111" i="16"/>
  <c r="R101" i="16"/>
  <c r="R113" i="16"/>
  <c r="R109" i="16"/>
  <c r="R105" i="16"/>
  <c r="K34" i="6"/>
  <c r="K33" i="6" a="1"/>
  <c r="K41" i="6" s="1"/>
  <c r="R107" i="16"/>
  <c r="K38" i="6"/>
  <c r="K39" i="6"/>
  <c r="K42" i="6"/>
  <c r="I34" i="6" a="1"/>
  <c r="I40" i="6" s="1"/>
  <c r="F24" i="16"/>
  <c r="F35" i="16"/>
  <c r="F31" i="16"/>
  <c r="F32" i="16"/>
  <c r="F25" i="16"/>
  <c r="F26" i="16"/>
  <c r="F29" i="16"/>
  <c r="F28" i="16"/>
  <c r="F30" i="16"/>
  <c r="F34" i="16"/>
  <c r="F33" i="16"/>
  <c r="F27" i="16"/>
  <c r="F96" i="16"/>
  <c r="Z53" i="6"/>
  <c r="D95" i="16" s="1"/>
  <c r="E96" i="16"/>
  <c r="D96" i="16"/>
  <c r="C38" i="16"/>
  <c r="C96" i="16"/>
  <c r="O53" i="6"/>
  <c r="C95" i="16" s="1"/>
  <c r="AK53" i="6"/>
  <c r="E95" i="16" s="1"/>
  <c r="AV53" i="6"/>
  <c r="F95" i="16" s="1"/>
  <c r="M27" i="14"/>
  <c r="M25" i="14"/>
  <c r="M28" i="14"/>
  <c r="M34" i="14"/>
  <c r="BP15" i="6"/>
  <c r="K96" i="14"/>
  <c r="L96" i="14"/>
  <c r="CE80" i="6"/>
  <c r="M26" i="14"/>
  <c r="M29" i="14"/>
  <c r="M33" i="14"/>
  <c r="M31" i="14"/>
  <c r="M32" i="14"/>
  <c r="M35" i="14"/>
  <c r="M24" i="14"/>
  <c r="J96" i="14"/>
  <c r="J38" i="14"/>
  <c r="CP80" i="6"/>
  <c r="CP26" i="6"/>
  <c r="L95" i="14" s="1"/>
  <c r="BT26" i="6"/>
  <c r="J95" i="14" s="1"/>
  <c r="DA80" i="6"/>
  <c r="M96" i="14"/>
  <c r="CE26" i="6"/>
  <c r="K95" i="14" s="1"/>
  <c r="DA26" i="6"/>
  <c r="M95" i="14" s="1"/>
  <c r="F27" i="14"/>
  <c r="F25" i="14"/>
  <c r="F33" i="14"/>
  <c r="F24" i="14"/>
  <c r="F31" i="14"/>
  <c r="F28" i="14"/>
  <c r="F35" i="14"/>
  <c r="F32" i="14"/>
  <c r="F26" i="14"/>
  <c r="F29" i="14"/>
  <c r="F30" i="14"/>
  <c r="K18" i="6"/>
  <c r="D96" i="14"/>
  <c r="C96" i="14"/>
  <c r="C38" i="14"/>
  <c r="O26" i="6"/>
  <c r="C95" i="14" s="1"/>
  <c r="E96" i="14"/>
  <c r="Z26" i="6"/>
  <c r="D95" i="14" s="1"/>
  <c r="F96" i="14"/>
  <c r="AK26" i="6"/>
  <c r="E95" i="14" s="1"/>
  <c r="CD69" i="6"/>
  <c r="CD70" i="6"/>
  <c r="CD63" i="6"/>
  <c r="CD71" i="6"/>
  <c r="CD64" i="6"/>
  <c r="CD68" i="6"/>
  <c r="CD61" i="6"/>
  <c r="CD67" i="6"/>
  <c r="CD66" i="6"/>
  <c r="CD65" i="6"/>
  <c r="CD62" i="6"/>
  <c r="CD72" i="6"/>
  <c r="AM60" i="6"/>
  <c r="AI60" i="6"/>
  <c r="AX60" i="6"/>
  <c r="AT60" i="6"/>
  <c r="AB60" i="6"/>
  <c r="X60" i="6"/>
  <c r="CO66" i="6"/>
  <c r="CO61" i="6"/>
  <c r="CO65" i="6"/>
  <c r="CO62" i="6"/>
  <c r="CO60" i="6"/>
  <c r="CO71" i="6"/>
  <c r="CO72" i="6"/>
  <c r="CO67" i="6"/>
  <c r="CO68" i="6"/>
  <c r="CO64" i="6"/>
  <c r="CO69" i="6"/>
  <c r="CO70" i="6"/>
  <c r="BS65" i="6"/>
  <c r="BS60" i="6"/>
  <c r="BS67" i="6"/>
  <c r="BS66" i="6"/>
  <c r="BS61" i="6"/>
  <c r="BS63" i="6"/>
  <c r="BS62" i="6"/>
  <c r="BS68" i="6"/>
  <c r="BS70" i="6"/>
  <c r="BS72" i="6"/>
  <c r="BS64" i="6"/>
  <c r="BS71" i="6"/>
  <c r="K13" i="6"/>
  <c r="K10" i="6"/>
  <c r="K7" i="6"/>
  <c r="BP8" i="6"/>
  <c r="K14" i="6"/>
  <c r="K11" i="6"/>
  <c r="BP18" i="6"/>
  <c r="BP12" i="6"/>
  <c r="BP13" i="6"/>
  <c r="BP10" i="6"/>
  <c r="BP9" i="6"/>
  <c r="BP11" i="6"/>
  <c r="BP6" i="6"/>
  <c r="BP7" i="6"/>
  <c r="K15" i="6"/>
  <c r="BP14" i="6"/>
  <c r="BP16" i="6"/>
  <c r="BP17" i="6"/>
  <c r="K17" i="6"/>
  <c r="K16" i="6"/>
  <c r="S120" i="16"/>
  <c r="S122" i="16" a="1"/>
  <c r="S122" i="16" s="1"/>
  <c r="AO101" i="16" a="1"/>
  <c r="AO110" i="16" s="1"/>
  <c r="BQ32" i="6" a="1"/>
  <c r="BQ43" i="6" s="1"/>
  <c r="K12" i="6"/>
  <c r="K9" i="6"/>
  <c r="K8" i="6"/>
  <c r="K6" i="6"/>
  <c r="BN12" i="6"/>
  <c r="BN17" i="6"/>
  <c r="BO17" i="6" s="1"/>
  <c r="BN13" i="6"/>
  <c r="BN7" i="6"/>
  <c r="BN9" i="6"/>
  <c r="BN15" i="6"/>
  <c r="BO15" i="6" s="1"/>
  <c r="BN18" i="6"/>
  <c r="BO18" i="6" s="1"/>
  <c r="BN11" i="6"/>
  <c r="BN10" i="6"/>
  <c r="BN16" i="6"/>
  <c r="BO16" i="6" s="1"/>
  <c r="BN14" i="6"/>
  <c r="AM101" i="16" a="1"/>
  <c r="DA60" i="6" a="1"/>
  <c r="L59" i="6"/>
  <c r="BN34" i="6" l="1"/>
  <c r="AM102" i="16" s="1"/>
  <c r="BN40" i="6"/>
  <c r="BO40" i="6" s="1"/>
  <c r="BN39" i="6"/>
  <c r="BO39" i="6" s="1"/>
  <c r="BN37" i="6"/>
  <c r="BO37" i="6" s="1"/>
  <c r="BN41" i="6"/>
  <c r="BO41" i="6" s="1"/>
  <c r="BN36" i="6"/>
  <c r="BO36" i="6" s="1"/>
  <c r="BN35" i="6"/>
  <c r="BO35" i="6" s="1"/>
  <c r="BN38" i="6"/>
  <c r="BO38" i="6" s="1"/>
  <c r="BN45" i="6"/>
  <c r="BO45" i="6" s="1"/>
  <c r="BN42" i="6"/>
  <c r="BO42" i="6" s="1"/>
  <c r="BN44" i="6"/>
  <c r="BO44" i="6" s="1"/>
  <c r="BN43" i="6"/>
  <c r="BO43" i="6" s="1"/>
  <c r="I9" i="6"/>
  <c r="S104" i="14" s="1"/>
  <c r="I17" i="6"/>
  <c r="J17" i="6" s="1"/>
  <c r="I16" i="6"/>
  <c r="J16" i="6" s="1"/>
  <c r="I7" i="6"/>
  <c r="J7" i="6" s="1"/>
  <c r="I11" i="6"/>
  <c r="I13" i="6"/>
  <c r="S108" i="14" s="1"/>
  <c r="I15" i="6"/>
  <c r="J15" i="6" s="1"/>
  <c r="I8" i="6"/>
  <c r="S101" i="14" s="1" a="1"/>
  <c r="I18" i="6"/>
  <c r="J18" i="6" s="1"/>
  <c r="I12" i="6"/>
  <c r="S107" i="14" s="1"/>
  <c r="I14" i="6"/>
  <c r="J14" i="6" s="1"/>
  <c r="K33" i="6"/>
  <c r="K36" i="6"/>
  <c r="K45" i="6"/>
  <c r="K44" i="6"/>
  <c r="K35" i="6"/>
  <c r="K37" i="6"/>
  <c r="K40" i="6"/>
  <c r="K43" i="6"/>
  <c r="I38" i="6"/>
  <c r="I44" i="6"/>
  <c r="J44" i="6" s="1"/>
  <c r="I36" i="6"/>
  <c r="R122" i="16" a="1"/>
  <c r="R122" i="16" s="1"/>
  <c r="I42" i="6"/>
  <c r="J42" i="6" s="1"/>
  <c r="I35" i="6"/>
  <c r="I34" i="6"/>
  <c r="I41" i="6"/>
  <c r="J41" i="6" s="1"/>
  <c r="I39" i="6"/>
  <c r="I43" i="6"/>
  <c r="J43" i="6" s="1"/>
  <c r="I45" i="6"/>
  <c r="J45" i="6" s="1"/>
  <c r="I37" i="6"/>
  <c r="R120" i="16"/>
  <c r="T120" i="16" s="1"/>
  <c r="S122" i="14" a="1"/>
  <c r="S122" i="14" s="1"/>
  <c r="S120" i="14"/>
  <c r="R122" i="14" a="1"/>
  <c r="R122" i="14" s="1"/>
  <c r="R120" i="14"/>
  <c r="BQ5" i="6" a="1"/>
  <c r="CE60" i="6" a="1"/>
  <c r="CE60" i="6" s="1"/>
  <c r="CP60" i="6" a="1"/>
  <c r="CP63" i="6" s="1"/>
  <c r="CR63" i="6" s="1"/>
  <c r="BT60" i="6" a="1"/>
  <c r="BT60" i="6" s="1"/>
  <c r="AO108" i="16"/>
  <c r="AO107" i="16"/>
  <c r="S110" i="14"/>
  <c r="S105" i="14"/>
  <c r="S106" i="14"/>
  <c r="S101" i="14"/>
  <c r="AO101" i="14" a="1"/>
  <c r="AO104" i="16"/>
  <c r="AO101" i="16"/>
  <c r="AM104" i="16"/>
  <c r="AO112" i="16"/>
  <c r="AO106" i="16"/>
  <c r="AO102" i="16"/>
  <c r="AO111" i="16"/>
  <c r="AO105" i="16"/>
  <c r="AO103" i="16"/>
  <c r="AO109" i="16"/>
  <c r="AO113" i="16"/>
  <c r="AM103" i="16"/>
  <c r="AM105" i="16"/>
  <c r="L5" i="6" a="1"/>
  <c r="L10" i="6" s="1"/>
  <c r="BQ32" i="6"/>
  <c r="BQ35" i="6"/>
  <c r="BQ37" i="6"/>
  <c r="BQ44" i="6"/>
  <c r="BQ39" i="6"/>
  <c r="BQ33" i="6"/>
  <c r="BQ38" i="6"/>
  <c r="BQ42" i="6"/>
  <c r="BQ36" i="6"/>
  <c r="BQ45" i="6"/>
  <c r="BQ41" i="6"/>
  <c r="BQ40" i="6"/>
  <c r="BQ34" i="6"/>
  <c r="U101" i="14" a="1"/>
  <c r="U102" i="14" s="1"/>
  <c r="BO8" i="6"/>
  <c r="AM101" i="14" a="1"/>
  <c r="AM108" i="14" s="1"/>
  <c r="BO7" i="6"/>
  <c r="BO14" i="6"/>
  <c r="BO9" i="6"/>
  <c r="BO13" i="6"/>
  <c r="BO10" i="6"/>
  <c r="BO12" i="6"/>
  <c r="BO11" i="6"/>
  <c r="BN21" i="6" a="1"/>
  <c r="BN21" i="6" s="1"/>
  <c r="AM113" i="16"/>
  <c r="AM101" i="16"/>
  <c r="AN101" i="16" a="1"/>
  <c r="DA72" i="6"/>
  <c r="DC72" i="6" s="1"/>
  <c r="DA61" i="6"/>
  <c r="DC61" i="6" s="1"/>
  <c r="DA65" i="6"/>
  <c r="DC65" i="6" s="1"/>
  <c r="DA69" i="6"/>
  <c r="DC69" i="6" s="1"/>
  <c r="DA62" i="6"/>
  <c r="DC62" i="6" s="1"/>
  <c r="DA66" i="6"/>
  <c r="DC66" i="6" s="1"/>
  <c r="DA70" i="6"/>
  <c r="DC70" i="6" s="1"/>
  <c r="DA63" i="6"/>
  <c r="DC63" i="6" s="1"/>
  <c r="DA71" i="6"/>
  <c r="DC71" i="6" s="1"/>
  <c r="DA67" i="6"/>
  <c r="DC67" i="6" s="1"/>
  <c r="DA64" i="6"/>
  <c r="DC64" i="6" s="1"/>
  <c r="DA68" i="6"/>
  <c r="DC68" i="6" s="1"/>
  <c r="DA60" i="6"/>
  <c r="AM108" i="16" l="1"/>
  <c r="AM110" i="16"/>
  <c r="AN109" i="16"/>
  <c r="AM109" i="16"/>
  <c r="AM111" i="16"/>
  <c r="AM112" i="16"/>
  <c r="BO34" i="6"/>
  <c r="AN102" i="16" s="1"/>
  <c r="BN48" i="6" a="1"/>
  <c r="BN48" i="6" s="1"/>
  <c r="AM107" i="16"/>
  <c r="AM106" i="16"/>
  <c r="S109" i="14"/>
  <c r="S112" i="14"/>
  <c r="L32" i="6" a="1"/>
  <c r="L43" i="6" s="1"/>
  <c r="S111" i="14"/>
  <c r="J11" i="6"/>
  <c r="T101" i="14" s="1" a="1"/>
  <c r="I21" i="6" a="1"/>
  <c r="I21" i="6" s="1"/>
  <c r="Z27" i="6" s="1"/>
  <c r="J10" i="6"/>
  <c r="T105" i="14" s="1"/>
  <c r="S102" i="14"/>
  <c r="S103" i="14"/>
  <c r="J8" i="6"/>
  <c r="T103" i="14" s="1"/>
  <c r="J12" i="6"/>
  <c r="T107" i="14" s="1"/>
  <c r="J9" i="6"/>
  <c r="T104" i="14" s="1"/>
  <c r="J13" i="6"/>
  <c r="S113" i="14"/>
  <c r="J37" i="6"/>
  <c r="U101" i="16" a="1"/>
  <c r="U110" i="16" s="1"/>
  <c r="J34" i="6"/>
  <c r="S101" i="16" a="1"/>
  <c r="J35" i="6"/>
  <c r="J40" i="6"/>
  <c r="J36" i="6"/>
  <c r="I48" i="6" a="1"/>
  <c r="I48" i="6" s="1"/>
  <c r="O54" i="6" s="1"/>
  <c r="J39" i="6"/>
  <c r="J38" i="6"/>
  <c r="T120" i="14"/>
  <c r="BQ15" i="6"/>
  <c r="BQ8" i="6"/>
  <c r="BQ18" i="6"/>
  <c r="BQ5" i="6"/>
  <c r="BQ10" i="6"/>
  <c r="BQ11" i="6"/>
  <c r="BQ6" i="6"/>
  <c r="BQ7" i="6"/>
  <c r="BQ14" i="6"/>
  <c r="BQ16" i="6"/>
  <c r="BQ17" i="6"/>
  <c r="BQ13" i="6"/>
  <c r="BQ12" i="6"/>
  <c r="BQ9" i="6"/>
  <c r="CE62" i="6"/>
  <c r="CG62" i="6" s="1"/>
  <c r="CE70" i="6"/>
  <c r="CG70" i="6" s="1"/>
  <c r="CE68" i="6"/>
  <c r="CG68" i="6" s="1"/>
  <c r="CE69" i="6"/>
  <c r="CG69" i="6" s="1"/>
  <c r="CE64" i="6"/>
  <c r="CG64" i="6" s="1"/>
  <c r="CE67" i="6"/>
  <c r="CG67" i="6" s="1"/>
  <c r="CE66" i="6"/>
  <c r="CG66" i="6" s="1"/>
  <c r="CE63" i="6"/>
  <c r="CG63" i="6" s="1"/>
  <c r="CE71" i="6"/>
  <c r="CG71" i="6" s="1"/>
  <c r="CE61" i="6"/>
  <c r="CG61" i="6" s="1"/>
  <c r="CE65" i="6"/>
  <c r="CG65" i="6" s="1"/>
  <c r="CE72" i="6"/>
  <c r="CG72" i="6" s="1"/>
  <c r="CP69" i="6"/>
  <c r="CR69" i="6" s="1"/>
  <c r="CP70" i="6"/>
  <c r="CR70" i="6" s="1"/>
  <c r="CP68" i="6"/>
  <c r="CR68" i="6" s="1"/>
  <c r="CP66" i="6"/>
  <c r="CR66" i="6" s="1"/>
  <c r="CP64" i="6"/>
  <c r="CR64" i="6" s="1"/>
  <c r="CP62" i="6"/>
  <c r="CR62" i="6" s="1"/>
  <c r="CP60" i="6"/>
  <c r="CR60" i="6" s="1"/>
  <c r="CP71" i="6"/>
  <c r="CR71" i="6" s="1"/>
  <c r="CP65" i="6"/>
  <c r="CR65" i="6" s="1"/>
  <c r="CP72" i="6"/>
  <c r="CR72" i="6" s="1"/>
  <c r="CP67" i="6"/>
  <c r="CR67" i="6" s="1"/>
  <c r="CP61" i="6"/>
  <c r="CR61" i="6" s="1"/>
  <c r="BT69" i="6"/>
  <c r="BV69" i="6" s="1"/>
  <c r="BT67" i="6"/>
  <c r="BV67" i="6" s="1"/>
  <c r="BT65" i="6"/>
  <c r="BV65" i="6" s="1"/>
  <c r="BT63" i="6"/>
  <c r="BV63" i="6" s="1"/>
  <c r="BT61" i="6"/>
  <c r="BV61" i="6" s="1"/>
  <c r="BT70" i="6"/>
  <c r="BV70" i="6" s="1"/>
  <c r="BT72" i="6"/>
  <c r="BV72" i="6" s="1"/>
  <c r="BT71" i="6"/>
  <c r="BV71" i="6" s="1"/>
  <c r="BT64" i="6"/>
  <c r="BV64" i="6" s="1"/>
  <c r="BT62" i="6"/>
  <c r="BV62" i="6" s="1"/>
  <c r="BT68" i="6"/>
  <c r="BV68" i="6" s="1"/>
  <c r="BT66" i="6"/>
  <c r="BV66" i="6" s="1"/>
  <c r="AM113" i="14"/>
  <c r="AO109" i="14"/>
  <c r="AO106" i="14"/>
  <c r="AO112" i="14"/>
  <c r="AO103" i="14"/>
  <c r="AO104" i="14"/>
  <c r="AO102" i="14"/>
  <c r="AO110" i="14"/>
  <c r="AO113" i="14"/>
  <c r="AO107" i="14"/>
  <c r="AO105" i="14"/>
  <c r="AO111" i="14"/>
  <c r="AO108" i="14"/>
  <c r="AO101" i="14"/>
  <c r="AM107" i="14"/>
  <c r="L5" i="6"/>
  <c r="L6" i="6"/>
  <c r="AM105" i="14"/>
  <c r="L16" i="6"/>
  <c r="AM111" i="14"/>
  <c r="L17" i="6"/>
  <c r="AM102" i="14"/>
  <c r="AM109" i="14"/>
  <c r="L13" i="6"/>
  <c r="AM106" i="14"/>
  <c r="AM112" i="14"/>
  <c r="AM110" i="14"/>
  <c r="L11" i="6"/>
  <c r="L14" i="6"/>
  <c r="L15" i="6"/>
  <c r="L9" i="6"/>
  <c r="L18" i="6"/>
  <c r="L12" i="6"/>
  <c r="U104" i="14"/>
  <c r="L8" i="6"/>
  <c r="L7" i="6"/>
  <c r="U107" i="14"/>
  <c r="U108" i="14"/>
  <c r="U106" i="14"/>
  <c r="U101" i="14"/>
  <c r="U110" i="14"/>
  <c r="AP101" i="16" a="1"/>
  <c r="AP106" i="16" s="1"/>
  <c r="U105" i="14"/>
  <c r="U113" i="14"/>
  <c r="U112" i="14"/>
  <c r="U111" i="14"/>
  <c r="U103" i="14"/>
  <c r="U109" i="14"/>
  <c r="AM101" i="14"/>
  <c r="AM103" i="14"/>
  <c r="T101" i="14"/>
  <c r="T102" i="14"/>
  <c r="T110" i="14"/>
  <c r="T109" i="14"/>
  <c r="T112" i="14"/>
  <c r="T111" i="14"/>
  <c r="T113" i="14"/>
  <c r="AN101" i="14" a="1"/>
  <c r="AN104" i="14" s="1"/>
  <c r="AM104" i="14"/>
  <c r="CZ6" i="6" a="1"/>
  <c r="CZ12" i="6" s="1"/>
  <c r="CY12" i="6" s="1"/>
  <c r="CE27" i="6"/>
  <c r="CD6" i="6" a="1"/>
  <c r="CD18" i="6" s="1"/>
  <c r="CC18" i="6" s="1"/>
  <c r="BS6" i="6" a="1"/>
  <c r="BS18" i="6" s="1"/>
  <c r="BR18" i="6" s="1"/>
  <c r="DA27" i="6"/>
  <c r="CP27" i="6"/>
  <c r="CO6" i="6" a="1"/>
  <c r="CO6" i="6" s="1"/>
  <c r="BT27" i="6"/>
  <c r="AN108" i="16"/>
  <c r="AN113" i="16"/>
  <c r="AN107" i="16"/>
  <c r="AN101" i="16"/>
  <c r="AN105" i="16"/>
  <c r="AN111" i="16"/>
  <c r="AN112" i="16"/>
  <c r="AN104" i="16"/>
  <c r="AN110" i="16"/>
  <c r="AN106" i="16"/>
  <c r="AN103" i="16"/>
  <c r="BV60" i="6"/>
  <c r="DC60" i="6"/>
  <c r="DA74" i="6"/>
  <c r="DA75" i="6"/>
  <c r="CG60" i="6"/>
  <c r="T106" i="14" l="1"/>
  <c r="BT54" i="6"/>
  <c r="CE54" i="6"/>
  <c r="BS33" i="6" a="1"/>
  <c r="CP54" i="6"/>
  <c r="CZ33" i="6" a="1"/>
  <c r="DA54" i="6"/>
  <c r="CD33" i="6" a="1"/>
  <c r="CO33" i="6" a="1"/>
  <c r="AV27" i="6"/>
  <c r="L37" i="6"/>
  <c r="O27" i="6"/>
  <c r="L36" i="6"/>
  <c r="L34" i="6"/>
  <c r="L32" i="6"/>
  <c r="L41" i="6"/>
  <c r="L39" i="6"/>
  <c r="L38" i="6"/>
  <c r="L44" i="6"/>
  <c r="L42" i="6"/>
  <c r="L45" i="6"/>
  <c r="L33" i="6"/>
  <c r="L40" i="6"/>
  <c r="L35" i="6"/>
  <c r="AK27" i="6"/>
  <c r="N6" i="6" a="1"/>
  <c r="N18" i="6" s="1"/>
  <c r="M18" i="6" s="1"/>
  <c r="U106" i="16"/>
  <c r="U109" i="16"/>
  <c r="AU6" i="6" a="1"/>
  <c r="AU7" i="6" s="1"/>
  <c r="AT7" i="6" s="1"/>
  <c r="U105" i="16"/>
  <c r="U108" i="16"/>
  <c r="T108" i="14"/>
  <c r="AJ6" i="6" a="1"/>
  <c r="AJ13" i="6" s="1"/>
  <c r="AI13" i="6" s="1"/>
  <c r="Y6" i="6" a="1"/>
  <c r="Y8" i="6" s="1"/>
  <c r="X8" i="6" s="1"/>
  <c r="U113" i="16"/>
  <c r="U104" i="16"/>
  <c r="U102" i="16"/>
  <c r="U111" i="16"/>
  <c r="U112" i="16"/>
  <c r="U101" i="16"/>
  <c r="U107" i="16"/>
  <c r="U103" i="16"/>
  <c r="S101" i="16"/>
  <c r="S106" i="16"/>
  <c r="S104" i="16"/>
  <c r="S110" i="16"/>
  <c r="S108" i="16"/>
  <c r="S113" i="16"/>
  <c r="S107" i="16"/>
  <c r="S105" i="16"/>
  <c r="S112" i="16"/>
  <c r="S103" i="16"/>
  <c r="S111" i="16"/>
  <c r="T101" i="16" a="1"/>
  <c r="S102" i="16"/>
  <c r="AN106" i="14"/>
  <c r="AJ33" i="6" a="1"/>
  <c r="AJ36" i="6" s="1"/>
  <c r="AI36" i="6" s="1"/>
  <c r="S109" i="16"/>
  <c r="N33" i="6" a="1"/>
  <c r="AK54" i="6"/>
  <c r="Y33" i="6" a="1"/>
  <c r="Y43" i="6" s="1"/>
  <c r="X43" i="6" s="1"/>
  <c r="Z54" i="6"/>
  <c r="AU33" i="6" a="1"/>
  <c r="AU45" i="6" s="1"/>
  <c r="AT45" i="6" s="1"/>
  <c r="AV54" i="6"/>
  <c r="AU10" i="6"/>
  <c r="AT10" i="6" s="1"/>
  <c r="AP101" i="14" a="1"/>
  <c r="AP105" i="16"/>
  <c r="AP112" i="16"/>
  <c r="AP103" i="16"/>
  <c r="CE75" i="6"/>
  <c r="CE74" i="6"/>
  <c r="AP110" i="16"/>
  <c r="AP101" i="16"/>
  <c r="AP109" i="16"/>
  <c r="AP113" i="16"/>
  <c r="AP104" i="16"/>
  <c r="AP102" i="16"/>
  <c r="AP108" i="16"/>
  <c r="CP75" i="6"/>
  <c r="CP74" i="6"/>
  <c r="BT74" i="6"/>
  <c r="BT75" i="6"/>
  <c r="AP111" i="16"/>
  <c r="AP107" i="16"/>
  <c r="V101" i="14" a="1"/>
  <c r="V104" i="14" s="1"/>
  <c r="AN101" i="14"/>
  <c r="AN103" i="14"/>
  <c r="AN112" i="14"/>
  <c r="AN110" i="14"/>
  <c r="AN113" i="14"/>
  <c r="AN111" i="14"/>
  <c r="AN107" i="14"/>
  <c r="AN109" i="14"/>
  <c r="AN102" i="14"/>
  <c r="AN105" i="14"/>
  <c r="AN108" i="14"/>
  <c r="CZ16" i="6"/>
  <c r="CY16" i="6" s="1"/>
  <c r="CZ9" i="6"/>
  <c r="CY9" i="6" s="1"/>
  <c r="CD7" i="6"/>
  <c r="CC7" i="6" s="1"/>
  <c r="CZ14" i="6"/>
  <c r="CY14" i="6" s="1"/>
  <c r="CZ17" i="6"/>
  <c r="CY17" i="6" s="1"/>
  <c r="CZ18" i="6"/>
  <c r="CY18" i="6" s="1"/>
  <c r="CZ7" i="6"/>
  <c r="CY7" i="6" s="1"/>
  <c r="CD12" i="6"/>
  <c r="CC12" i="6" s="1"/>
  <c r="CZ11" i="6"/>
  <c r="CY11" i="6" s="1"/>
  <c r="CZ15" i="6"/>
  <c r="CY15" i="6" s="1"/>
  <c r="CD9" i="6"/>
  <c r="CC9" i="6" s="1"/>
  <c r="CZ8" i="6"/>
  <c r="CY8" i="6" s="1"/>
  <c r="CZ13" i="6"/>
  <c r="CY13" i="6" s="1"/>
  <c r="CZ6" i="6"/>
  <c r="CZ10" i="6"/>
  <c r="CY10" i="6" s="1"/>
  <c r="BS15" i="6"/>
  <c r="BR15" i="6" s="1"/>
  <c r="BS14" i="6"/>
  <c r="BR14" i="6" s="1"/>
  <c r="CD10" i="6"/>
  <c r="CC10" i="6" s="1"/>
  <c r="BS10" i="6"/>
  <c r="BR10" i="6" s="1"/>
  <c r="BS16" i="6"/>
  <c r="BR16" i="6" s="1"/>
  <c r="BS11" i="6"/>
  <c r="BR11" i="6" s="1"/>
  <c r="CD8" i="6"/>
  <c r="CC8" i="6" s="1"/>
  <c r="CD13" i="6"/>
  <c r="CC13" i="6" s="1"/>
  <c r="BS7" i="6"/>
  <c r="BR7" i="6" s="1"/>
  <c r="BS9" i="6"/>
  <c r="BR9" i="6" s="1"/>
  <c r="BS12" i="6"/>
  <c r="BR12" i="6" s="1"/>
  <c r="CD16" i="6"/>
  <c r="CC16" i="6" s="1"/>
  <c r="CD15" i="6"/>
  <c r="CC15" i="6" s="1"/>
  <c r="BS8" i="6"/>
  <c r="BR8" i="6" s="1"/>
  <c r="CD14" i="6"/>
  <c r="CC14" i="6" s="1"/>
  <c r="CD17" i="6"/>
  <c r="CC17" i="6" s="1"/>
  <c r="CD11" i="6"/>
  <c r="CC11" i="6" s="1"/>
  <c r="CD6" i="6"/>
  <c r="BS17" i="6"/>
  <c r="BR17" i="6" s="1"/>
  <c r="BS6" i="6"/>
  <c r="BS13" i="6"/>
  <c r="BR13" i="6" s="1"/>
  <c r="CR6" i="6"/>
  <c r="CQ6" i="6" s="1" a="1"/>
  <c r="CQ6" i="6" s="1"/>
  <c r="CN6" i="6"/>
  <c r="CO10" i="6"/>
  <c r="CN10" i="6" s="1"/>
  <c r="CO7" i="6"/>
  <c r="CN7" i="6" s="1"/>
  <c r="CO8" i="6"/>
  <c r="CN8" i="6" s="1"/>
  <c r="CO18" i="6"/>
  <c r="CN18" i="6" s="1"/>
  <c r="CO9" i="6"/>
  <c r="CN9" i="6" s="1"/>
  <c r="CO11" i="6"/>
  <c r="CN11" i="6" s="1"/>
  <c r="CO13" i="6"/>
  <c r="CN13" i="6" s="1"/>
  <c r="CO14" i="6"/>
  <c r="CN14" i="6" s="1"/>
  <c r="CO15" i="6"/>
  <c r="CN15" i="6" s="1"/>
  <c r="CO17" i="6"/>
  <c r="CN17" i="6" s="1"/>
  <c r="CO12" i="6"/>
  <c r="CN12" i="6" s="1"/>
  <c r="CO16" i="6"/>
  <c r="CN16" i="6" s="1"/>
  <c r="CF67" i="6" a="1"/>
  <c r="CF67" i="6" s="1"/>
  <c r="CF61" i="6" a="1"/>
  <c r="CF61" i="6" s="1"/>
  <c r="CF71" i="6" a="1"/>
  <c r="CF71" i="6" s="1"/>
  <c r="CF60" i="6" a="1"/>
  <c r="CF60" i="6" s="1"/>
  <c r="CF64" i="6" a="1"/>
  <c r="CF64" i="6" s="1"/>
  <c r="CF70" i="6" a="1"/>
  <c r="CF70" i="6" s="1"/>
  <c r="CF62" i="6" a="1"/>
  <c r="CF62" i="6" s="1"/>
  <c r="CF66" i="6" a="1"/>
  <c r="CF66" i="6" s="1"/>
  <c r="CF65" i="6" a="1"/>
  <c r="CF65" i="6" s="1"/>
  <c r="CF72" i="6" a="1"/>
  <c r="CF72" i="6" s="1"/>
  <c r="CF68" i="6" a="1"/>
  <c r="CF68" i="6" s="1"/>
  <c r="CF69" i="6" a="1"/>
  <c r="CF69" i="6" s="1"/>
  <c r="CF63" i="6" a="1"/>
  <c r="CF63" i="6" s="1"/>
  <c r="DB60" i="6" a="1"/>
  <c r="DB60" i="6" s="1"/>
  <c r="DB67" i="6" a="1"/>
  <c r="DB67" i="6" s="1"/>
  <c r="DB66" i="6" a="1"/>
  <c r="DB66" i="6" s="1"/>
  <c r="DB65" i="6" a="1"/>
  <c r="DB65" i="6" s="1"/>
  <c r="DB72" i="6" a="1"/>
  <c r="DB72" i="6" s="1"/>
  <c r="DB68" i="6" a="1"/>
  <c r="DB68" i="6" s="1"/>
  <c r="DB61" i="6" a="1"/>
  <c r="DB61" i="6" s="1"/>
  <c r="DB70" i="6" a="1"/>
  <c r="DB70" i="6" s="1"/>
  <c r="DB69" i="6" a="1"/>
  <c r="DB69" i="6" s="1"/>
  <c r="DB63" i="6" a="1"/>
  <c r="DB63" i="6" s="1"/>
  <c r="DB71" i="6" a="1"/>
  <c r="DB71" i="6" s="1"/>
  <c r="DB62" i="6" a="1"/>
  <c r="DB62" i="6" s="1"/>
  <c r="DB64" i="6" a="1"/>
  <c r="DB64" i="6" s="1"/>
  <c r="CQ66" i="6" a="1"/>
  <c r="CQ66" i="6" s="1"/>
  <c r="CQ60" i="6" a="1"/>
  <c r="CQ60" i="6" s="1"/>
  <c r="CQ72" i="6" a="1"/>
  <c r="CQ72" i="6" s="1"/>
  <c r="CQ70" i="6" a="1"/>
  <c r="CQ70" i="6" s="1"/>
  <c r="CQ69" i="6" a="1"/>
  <c r="CQ69" i="6" s="1"/>
  <c r="CQ64" i="6" a="1"/>
  <c r="CQ64" i="6" s="1"/>
  <c r="CQ63" i="6" a="1"/>
  <c r="CQ63" i="6" s="1"/>
  <c r="CQ62" i="6" a="1"/>
  <c r="CQ62" i="6" s="1"/>
  <c r="CQ68" i="6" a="1"/>
  <c r="CQ68" i="6" s="1"/>
  <c r="CQ61" i="6" a="1"/>
  <c r="CQ61" i="6" s="1"/>
  <c r="CQ71" i="6" a="1"/>
  <c r="CQ71" i="6" s="1"/>
  <c r="CQ65" i="6" a="1"/>
  <c r="CQ65" i="6" s="1"/>
  <c r="CQ67" i="6" a="1"/>
  <c r="CQ67" i="6" s="1"/>
  <c r="BU67" i="6" a="1"/>
  <c r="BU67" i="6" s="1"/>
  <c r="BU61" i="6" a="1"/>
  <c r="BU61" i="6" s="1"/>
  <c r="BU71" i="6" a="1"/>
  <c r="BU71" i="6" s="1"/>
  <c r="BU66" i="6" a="1"/>
  <c r="BU66" i="6" s="1"/>
  <c r="BU62" i="6" a="1"/>
  <c r="BU62" i="6" s="1"/>
  <c r="BU70" i="6" a="1"/>
  <c r="BU70" i="6" s="1"/>
  <c r="BU65" i="6" a="1"/>
  <c r="BU65" i="6" s="1"/>
  <c r="BU64" i="6" a="1"/>
  <c r="BU64" i="6" s="1"/>
  <c r="BU60" i="6" a="1"/>
  <c r="BU60" i="6" s="1"/>
  <c r="BU63" i="6" a="1"/>
  <c r="BU63" i="6" s="1"/>
  <c r="BU72" i="6" a="1"/>
  <c r="BU72" i="6" s="1"/>
  <c r="BU68" i="6" a="1"/>
  <c r="BU68" i="6" s="1"/>
  <c r="BU69" i="6" a="1"/>
  <c r="BU69" i="6" s="1"/>
  <c r="CO35" i="6" l="1"/>
  <c r="CN35" i="6" s="1"/>
  <c r="CO33" i="6"/>
  <c r="CO40" i="6"/>
  <c r="CN40" i="6" s="1"/>
  <c r="CO39" i="6"/>
  <c r="CN39" i="6" s="1"/>
  <c r="CO43" i="6"/>
  <c r="CN43" i="6" s="1"/>
  <c r="CO44" i="6"/>
  <c r="CN44" i="6" s="1"/>
  <c r="CO42" i="6"/>
  <c r="CN42" i="6" s="1"/>
  <c r="CO37" i="6"/>
  <c r="CN37" i="6" s="1"/>
  <c r="CO34" i="6"/>
  <c r="CN34" i="6" s="1"/>
  <c r="CO45" i="6"/>
  <c r="CN45" i="6" s="1"/>
  <c r="CO41" i="6"/>
  <c r="CN41" i="6" s="1"/>
  <c r="CO38" i="6"/>
  <c r="CN38" i="6" s="1"/>
  <c r="CO36" i="6"/>
  <c r="CN36" i="6" s="1"/>
  <c r="CD44" i="6"/>
  <c r="CC44" i="6" s="1"/>
  <c r="CD36" i="6"/>
  <c r="CC36" i="6" s="1"/>
  <c r="CD34" i="6"/>
  <c r="CC34" i="6" s="1"/>
  <c r="CD35" i="6"/>
  <c r="CC35" i="6" s="1"/>
  <c r="CD42" i="6"/>
  <c r="CC42" i="6" s="1"/>
  <c r="CD43" i="6"/>
  <c r="CC43" i="6" s="1"/>
  <c r="CD33" i="6"/>
  <c r="CD41" i="6"/>
  <c r="CC41" i="6" s="1"/>
  <c r="CD40" i="6"/>
  <c r="CC40" i="6" s="1"/>
  <c r="CD37" i="6"/>
  <c r="CC37" i="6" s="1"/>
  <c r="CD38" i="6"/>
  <c r="CC38" i="6" s="1"/>
  <c r="CD45" i="6"/>
  <c r="CC45" i="6" s="1"/>
  <c r="CD39" i="6"/>
  <c r="CC39" i="6" s="1"/>
  <c r="BS44" i="6"/>
  <c r="BR44" i="6" s="1"/>
  <c r="BS37" i="6"/>
  <c r="BR37" i="6" s="1"/>
  <c r="BS36" i="6"/>
  <c r="BR36" i="6" s="1"/>
  <c r="BS33" i="6"/>
  <c r="BS40" i="6"/>
  <c r="BR40" i="6" s="1"/>
  <c r="BS42" i="6"/>
  <c r="BR42" i="6" s="1"/>
  <c r="BS34" i="6"/>
  <c r="BR34" i="6" s="1"/>
  <c r="BS39" i="6"/>
  <c r="BR39" i="6" s="1"/>
  <c r="BS41" i="6"/>
  <c r="BR41" i="6" s="1"/>
  <c r="BS45" i="6"/>
  <c r="BR45" i="6" s="1"/>
  <c r="BS38" i="6"/>
  <c r="BR38" i="6" s="1"/>
  <c r="BS35" i="6"/>
  <c r="BR35" i="6" s="1"/>
  <c r="BS43" i="6"/>
  <c r="BR43" i="6" s="1"/>
  <c r="CZ42" i="6"/>
  <c r="CY42" i="6" s="1"/>
  <c r="CZ33" i="6"/>
  <c r="CZ45" i="6"/>
  <c r="CY45" i="6" s="1"/>
  <c r="CZ35" i="6"/>
  <c r="CY35" i="6" s="1"/>
  <c r="CZ44" i="6"/>
  <c r="CY44" i="6" s="1"/>
  <c r="CZ38" i="6"/>
  <c r="CY38" i="6" s="1"/>
  <c r="CZ40" i="6"/>
  <c r="CY40" i="6" s="1"/>
  <c r="CZ43" i="6"/>
  <c r="CY43" i="6" s="1"/>
  <c r="CZ41" i="6"/>
  <c r="CY41" i="6" s="1"/>
  <c r="CZ34" i="6"/>
  <c r="CY34" i="6" s="1"/>
  <c r="CZ36" i="6"/>
  <c r="CY36" i="6" s="1"/>
  <c r="CZ37" i="6"/>
  <c r="CY37" i="6" s="1"/>
  <c r="CZ39" i="6"/>
  <c r="CY39" i="6" s="1"/>
  <c r="Y42" i="6"/>
  <c r="X42" i="6" s="1"/>
  <c r="AJ14" i="6"/>
  <c r="AI14" i="6" s="1"/>
  <c r="AU8" i="6"/>
  <c r="AT8" i="6" s="1"/>
  <c r="N15" i="6"/>
  <c r="M15" i="6" s="1"/>
  <c r="Y15" i="6"/>
  <c r="X15" i="6" s="1"/>
  <c r="V101" i="16" a="1"/>
  <c r="N12" i="6"/>
  <c r="M12" i="6" s="1"/>
  <c r="Y7" i="6"/>
  <c r="X7" i="6" s="1"/>
  <c r="Y9" i="6"/>
  <c r="X9" i="6" s="1"/>
  <c r="AJ7" i="6"/>
  <c r="AI7" i="6" s="1"/>
  <c r="Y10" i="6"/>
  <c r="X10" i="6" s="1"/>
  <c r="N11" i="6"/>
  <c r="M11" i="6" s="1"/>
  <c r="AU11" i="6"/>
  <c r="AT11" i="6" s="1"/>
  <c r="Y6" i="6"/>
  <c r="AB6" i="6" s="1"/>
  <c r="AA6" i="6" s="1" a="1"/>
  <c r="AA6" i="6" s="1"/>
  <c r="AE6" i="6" s="1"/>
  <c r="Y13" i="6"/>
  <c r="X13" i="6" s="1"/>
  <c r="N8" i="6"/>
  <c r="M8" i="6" s="1"/>
  <c r="AU16" i="6"/>
  <c r="AT16" i="6" s="1"/>
  <c r="AJ10" i="6"/>
  <c r="AI10" i="6" s="1"/>
  <c r="Y11" i="6"/>
  <c r="X11" i="6" s="1"/>
  <c r="AJ9" i="6"/>
  <c r="AI9" i="6" s="1"/>
  <c r="N17" i="6"/>
  <c r="M17" i="6" s="1"/>
  <c r="AJ12" i="6"/>
  <c r="AI12" i="6" s="1"/>
  <c r="AU6" i="6"/>
  <c r="AX6" i="6" s="1"/>
  <c r="AW6" i="6" s="1" a="1"/>
  <c r="AW6" i="6" s="1"/>
  <c r="BB6" i="6" s="1"/>
  <c r="Y17" i="6"/>
  <c r="X17" i="6" s="1"/>
  <c r="Y18" i="6"/>
  <c r="X18" i="6" s="1"/>
  <c r="N6" i="6"/>
  <c r="M6" i="6" s="1"/>
  <c r="AJ15" i="6"/>
  <c r="AI15" i="6" s="1"/>
  <c r="N13" i="6"/>
  <c r="M13" i="6" s="1"/>
  <c r="N14" i="6"/>
  <c r="M14" i="6" s="1"/>
  <c r="AU9" i="6"/>
  <c r="AT9" i="6" s="1"/>
  <c r="AU13" i="6"/>
  <c r="AT13" i="6" s="1"/>
  <c r="AJ45" i="6"/>
  <c r="AI45" i="6" s="1"/>
  <c r="AJ40" i="6"/>
  <c r="AI40" i="6" s="1"/>
  <c r="Y14" i="6"/>
  <c r="X14" i="6" s="1"/>
  <c r="Y16" i="6"/>
  <c r="X16" i="6" s="1"/>
  <c r="Y12" i="6"/>
  <c r="X12" i="6" s="1"/>
  <c r="N10" i="6"/>
  <c r="M10" i="6" s="1"/>
  <c r="N9" i="6"/>
  <c r="M9" i="6" s="1"/>
  <c r="N7" i="6"/>
  <c r="M7" i="6" s="1"/>
  <c r="AJ17" i="6"/>
  <c r="AI17" i="6" s="1"/>
  <c r="N16" i="6"/>
  <c r="M16" i="6" s="1"/>
  <c r="AJ6" i="6"/>
  <c r="AI6" i="6" s="1"/>
  <c r="AU17" i="6"/>
  <c r="AT17" i="6" s="1"/>
  <c r="AU14" i="6"/>
  <c r="AT14" i="6" s="1"/>
  <c r="AJ35" i="6"/>
  <c r="AI35" i="6" s="1"/>
  <c r="AJ38" i="6"/>
  <c r="AI38" i="6" s="1"/>
  <c r="AJ34" i="6"/>
  <c r="AI34" i="6" s="1"/>
  <c r="AJ18" i="6"/>
  <c r="AI18" i="6" s="1"/>
  <c r="AJ16" i="6"/>
  <c r="AI16" i="6" s="1"/>
  <c r="AJ8" i="6"/>
  <c r="AI8" i="6" s="1"/>
  <c r="AJ11" i="6"/>
  <c r="AI11" i="6" s="1"/>
  <c r="AU15" i="6"/>
  <c r="AT15" i="6" s="1"/>
  <c r="AU18" i="6"/>
  <c r="AT18" i="6" s="1"/>
  <c r="AU12" i="6"/>
  <c r="AT12" i="6" s="1"/>
  <c r="AJ33" i="6"/>
  <c r="AM33" i="6" s="1"/>
  <c r="AL33" i="6" s="1" a="1"/>
  <c r="AL33" i="6" s="1"/>
  <c r="AQ33" i="6" s="1"/>
  <c r="AJ44" i="6"/>
  <c r="AI44" i="6" s="1"/>
  <c r="AJ39" i="6"/>
  <c r="AI39" i="6" s="1"/>
  <c r="AJ43" i="6"/>
  <c r="AI43" i="6" s="1"/>
  <c r="AJ42" i="6"/>
  <c r="AI42" i="6" s="1"/>
  <c r="AJ41" i="6"/>
  <c r="AI41" i="6" s="1"/>
  <c r="AJ37" i="6"/>
  <c r="AI37" i="6" s="1"/>
  <c r="T101" i="16"/>
  <c r="T102" i="16"/>
  <c r="T112" i="16"/>
  <c r="T113" i="16"/>
  <c r="T110" i="16"/>
  <c r="T105" i="16"/>
  <c r="T111" i="16"/>
  <c r="T109" i="16"/>
  <c r="T108" i="16"/>
  <c r="T107" i="16"/>
  <c r="T104" i="16"/>
  <c r="T103" i="16"/>
  <c r="T106" i="16"/>
  <c r="AU43" i="6"/>
  <c r="AT43" i="6" s="1"/>
  <c r="AU34" i="6"/>
  <c r="AT34" i="6" s="1"/>
  <c r="AU33" i="6"/>
  <c r="AT33" i="6" s="1"/>
  <c r="AU41" i="6"/>
  <c r="AT41" i="6" s="1"/>
  <c r="AU39" i="6"/>
  <c r="AT39" i="6" s="1"/>
  <c r="Y45" i="6"/>
  <c r="X45" i="6" s="1"/>
  <c r="Y36" i="6"/>
  <c r="X36" i="6" s="1"/>
  <c r="AU37" i="6"/>
  <c r="AT37" i="6" s="1"/>
  <c r="Y38" i="6"/>
  <c r="X38" i="6" s="1"/>
  <c r="Y37" i="6"/>
  <c r="X37" i="6" s="1"/>
  <c r="Y33" i="6"/>
  <c r="X33" i="6" s="1"/>
  <c r="AU38" i="6"/>
  <c r="AT38" i="6" s="1"/>
  <c r="AU35" i="6"/>
  <c r="AT35" i="6" s="1"/>
  <c r="Y41" i="6"/>
  <c r="X41" i="6" s="1"/>
  <c r="Y35" i="6"/>
  <c r="X35" i="6" s="1"/>
  <c r="Y39" i="6"/>
  <c r="X39" i="6" s="1"/>
  <c r="AU36" i="6"/>
  <c r="AT36" i="6" s="1"/>
  <c r="AU40" i="6"/>
  <c r="AT40" i="6" s="1"/>
  <c r="AU44" i="6"/>
  <c r="AT44" i="6" s="1"/>
  <c r="Y44" i="6"/>
  <c r="X44" i="6" s="1"/>
  <c r="AU42" i="6"/>
  <c r="AT42" i="6" s="1"/>
  <c r="Y34" i="6"/>
  <c r="X34" i="6" s="1"/>
  <c r="Y40" i="6"/>
  <c r="X40" i="6" s="1"/>
  <c r="N39" i="6"/>
  <c r="M39" i="6" s="1"/>
  <c r="N40" i="6"/>
  <c r="M40" i="6" s="1"/>
  <c r="N44" i="6"/>
  <c r="M44" i="6" s="1"/>
  <c r="N38" i="6"/>
  <c r="M38" i="6" s="1"/>
  <c r="N42" i="6"/>
  <c r="M42" i="6" s="1"/>
  <c r="N45" i="6"/>
  <c r="M45" i="6" s="1"/>
  <c r="N34" i="6"/>
  <c r="M34" i="6" s="1"/>
  <c r="N35" i="6"/>
  <c r="M35" i="6" s="1"/>
  <c r="N36" i="6"/>
  <c r="M36" i="6" s="1"/>
  <c r="N43" i="6"/>
  <c r="M43" i="6" s="1"/>
  <c r="N33" i="6"/>
  <c r="N37" i="6"/>
  <c r="M37" i="6" s="1"/>
  <c r="N41" i="6"/>
  <c r="M41" i="6" s="1"/>
  <c r="AT6" i="6"/>
  <c r="AP107" i="14"/>
  <c r="AP108" i="14"/>
  <c r="AP103" i="14"/>
  <c r="AP101" i="14"/>
  <c r="AP113" i="14"/>
  <c r="AP112" i="14"/>
  <c r="AP106" i="14"/>
  <c r="AP111" i="14"/>
  <c r="AP110" i="14"/>
  <c r="AP102" i="14"/>
  <c r="AP104" i="14"/>
  <c r="AP105" i="14"/>
  <c r="AP109" i="14"/>
  <c r="V105" i="14"/>
  <c r="V109" i="14"/>
  <c r="V101" i="14"/>
  <c r="V102" i="14"/>
  <c r="V111" i="14"/>
  <c r="V106" i="14"/>
  <c r="V112" i="14"/>
  <c r="V113" i="14"/>
  <c r="V110" i="14"/>
  <c r="V108" i="14"/>
  <c r="V103" i="14"/>
  <c r="V107" i="14"/>
  <c r="DA6" i="6" a="1"/>
  <c r="CY6" i="6"/>
  <c r="DC6" i="6"/>
  <c r="DB6" i="6" s="1" a="1"/>
  <c r="DB6" i="6" s="1"/>
  <c r="DF6" i="6" s="1"/>
  <c r="BT6" i="6" a="1"/>
  <c r="BT17" i="6" s="1"/>
  <c r="BV17" i="6" s="1"/>
  <c r="CC6" i="6"/>
  <c r="AT101" i="14" s="1" a="1"/>
  <c r="CE6" i="6" a="1"/>
  <c r="CG6" i="6"/>
  <c r="CF6" i="6" s="1" a="1"/>
  <c r="CF6" i="6" s="1"/>
  <c r="CJ6" i="6" s="1"/>
  <c r="BR6" i="6"/>
  <c r="AQ101" i="14" s="1" a="1"/>
  <c r="BV6" i="6"/>
  <c r="BU6" i="6" s="1" a="1"/>
  <c r="BU6" i="6" s="1"/>
  <c r="BZ6" i="6" s="1"/>
  <c r="AW101" i="14" a="1"/>
  <c r="CP6" i="6" a="1"/>
  <c r="BZ62" i="6"/>
  <c r="BY62" i="6"/>
  <c r="CJ69" i="6"/>
  <c r="CK69" i="6"/>
  <c r="BY72" i="6"/>
  <c r="BZ72" i="6"/>
  <c r="CJ61" i="6"/>
  <c r="CK61" i="6"/>
  <c r="BY63" i="6"/>
  <c r="BZ63" i="6"/>
  <c r="BY61" i="6"/>
  <c r="BZ61" i="6"/>
  <c r="CU67" i="6"/>
  <c r="CV67" i="6"/>
  <c r="CU69" i="6"/>
  <c r="CV69" i="6"/>
  <c r="DF63" i="6"/>
  <c r="DG63" i="6"/>
  <c r="DF67" i="6"/>
  <c r="DG67" i="6"/>
  <c r="CJ65" i="6"/>
  <c r="CK65" i="6"/>
  <c r="CJ67" i="6"/>
  <c r="CK67" i="6"/>
  <c r="CU62" i="6"/>
  <c r="CV62" i="6"/>
  <c r="CV63" i="6"/>
  <c r="CU63" i="6"/>
  <c r="BY60" i="6"/>
  <c r="BW69" i="6"/>
  <c r="BX69" i="6" s="1"/>
  <c r="BW70" i="6"/>
  <c r="BX70" i="6" s="1"/>
  <c r="BW65" i="6"/>
  <c r="BX65" i="6" s="1"/>
  <c r="BW71" i="6"/>
  <c r="BX71" i="6" s="1"/>
  <c r="BZ60" i="6"/>
  <c r="BW67" i="6"/>
  <c r="BX67" i="6" s="1"/>
  <c r="BW60" i="6"/>
  <c r="BX60" i="6" s="1"/>
  <c r="BW63" i="6"/>
  <c r="BX63" i="6" s="1"/>
  <c r="BW68" i="6"/>
  <c r="BX68" i="6" s="1"/>
  <c r="BW66" i="6"/>
  <c r="BX66" i="6" s="1"/>
  <c r="BW64" i="6"/>
  <c r="BX64" i="6" s="1"/>
  <c r="BW61" i="6"/>
  <c r="BX61" i="6" s="1"/>
  <c r="BW72" i="6"/>
  <c r="BX72" i="6" s="1"/>
  <c r="BW62" i="6"/>
  <c r="BX62" i="6" s="1"/>
  <c r="BZ67" i="6"/>
  <c r="BY67" i="6"/>
  <c r="CU65" i="6"/>
  <c r="CV65" i="6"/>
  <c r="CU70" i="6"/>
  <c r="CV70" i="6"/>
  <c r="DF69" i="6"/>
  <c r="DG69" i="6"/>
  <c r="DD60" i="6"/>
  <c r="DE60" i="6" s="1"/>
  <c r="DD62" i="6"/>
  <c r="DE62" i="6" s="1"/>
  <c r="DD66" i="6"/>
  <c r="DE66" i="6" s="1"/>
  <c r="DF60" i="6"/>
  <c r="DD64" i="6"/>
  <c r="DE64" i="6" s="1"/>
  <c r="DD68" i="6"/>
  <c r="DE68" i="6" s="1"/>
  <c r="DD63" i="6"/>
  <c r="DE63" i="6" s="1"/>
  <c r="DD67" i="6"/>
  <c r="DE67" i="6" s="1"/>
  <c r="DD61" i="6"/>
  <c r="DE61" i="6" s="1"/>
  <c r="DG60" i="6"/>
  <c r="DD71" i="6"/>
  <c r="DE71" i="6" s="1"/>
  <c r="DD70" i="6"/>
  <c r="DE70" i="6" s="1"/>
  <c r="DD65" i="6"/>
  <c r="DE65" i="6" s="1"/>
  <c r="DD69" i="6"/>
  <c r="DE69" i="6" s="1"/>
  <c r="DD72" i="6"/>
  <c r="DE72" i="6" s="1"/>
  <c r="CJ66" i="6"/>
  <c r="CK66" i="6"/>
  <c r="CH60" i="6"/>
  <c r="CI60" i="6" s="1"/>
  <c r="CH64" i="6"/>
  <c r="CI64" i="6" s="1"/>
  <c r="CH63" i="6"/>
  <c r="CI63" i="6" s="1"/>
  <c r="CH70" i="6"/>
  <c r="CI70" i="6" s="1"/>
  <c r="CH72" i="6"/>
  <c r="CI72" i="6" s="1"/>
  <c r="CH61" i="6"/>
  <c r="CI61" i="6" s="1"/>
  <c r="CH67" i="6"/>
  <c r="CI67" i="6" s="1"/>
  <c r="CH69" i="6"/>
  <c r="CI69" i="6" s="1"/>
  <c r="CH68" i="6"/>
  <c r="CI68" i="6" s="1"/>
  <c r="CJ60" i="6"/>
  <c r="CH66" i="6"/>
  <c r="CI66" i="6" s="1"/>
  <c r="CH71" i="6"/>
  <c r="CI71" i="6" s="1"/>
  <c r="CH65" i="6"/>
  <c r="CI65" i="6" s="1"/>
  <c r="CK60" i="6"/>
  <c r="CH62" i="6"/>
  <c r="CI62" i="6" s="1"/>
  <c r="CJ68" i="6"/>
  <c r="CK68" i="6"/>
  <c r="CJ72" i="6"/>
  <c r="CK72" i="6"/>
  <c r="CU71" i="6"/>
  <c r="CV71" i="6"/>
  <c r="CU72" i="6"/>
  <c r="CV72" i="6"/>
  <c r="DF70" i="6"/>
  <c r="DG70" i="6"/>
  <c r="CJ62" i="6"/>
  <c r="CK62" i="6"/>
  <c r="BY69" i="6"/>
  <c r="BZ69" i="6"/>
  <c r="DF64" i="6"/>
  <c r="DG64" i="6"/>
  <c r="BY66" i="6"/>
  <c r="BZ66" i="6"/>
  <c r="DF62" i="6"/>
  <c r="DG62" i="6"/>
  <c r="CJ71" i="6"/>
  <c r="CK71" i="6"/>
  <c r="CV64" i="6"/>
  <c r="CU64" i="6"/>
  <c r="DG71" i="6"/>
  <c r="DF71" i="6"/>
  <c r="BZ64" i="6"/>
  <c r="BY64" i="6"/>
  <c r="BY65" i="6"/>
  <c r="BZ65" i="6"/>
  <c r="CU61" i="6"/>
  <c r="CV61" i="6"/>
  <c r="CS66" i="6"/>
  <c r="CT66" i="6" s="1"/>
  <c r="CS68" i="6"/>
  <c r="CT68" i="6" s="1"/>
  <c r="CU60" i="6"/>
  <c r="CS63" i="6"/>
  <c r="CT63" i="6" s="1"/>
  <c r="CS69" i="6"/>
  <c r="CT69" i="6" s="1"/>
  <c r="CV60" i="6"/>
  <c r="CS60" i="6"/>
  <c r="CT60" i="6" s="1"/>
  <c r="CS67" i="6"/>
  <c r="CT67" i="6" s="1"/>
  <c r="CS70" i="6"/>
  <c r="CT70" i="6" s="1"/>
  <c r="CS64" i="6"/>
  <c r="CT64" i="6" s="1"/>
  <c r="CS65" i="6"/>
  <c r="CT65" i="6" s="1"/>
  <c r="CS71" i="6"/>
  <c r="CT71" i="6" s="1"/>
  <c r="CS62" i="6"/>
  <c r="CT62" i="6" s="1"/>
  <c r="CS72" i="6"/>
  <c r="CT72" i="6" s="1"/>
  <c r="CS61" i="6"/>
  <c r="CT61" i="6" s="1"/>
  <c r="DF61" i="6"/>
  <c r="DG61" i="6"/>
  <c r="CJ70" i="6"/>
  <c r="CK70" i="6"/>
  <c r="DF72" i="6"/>
  <c r="DG72" i="6"/>
  <c r="BY68" i="6"/>
  <c r="BZ68" i="6"/>
  <c r="DF65" i="6"/>
  <c r="DG65" i="6"/>
  <c r="BY71" i="6"/>
  <c r="BZ71" i="6"/>
  <c r="DF66" i="6"/>
  <c r="DG66" i="6"/>
  <c r="BY70" i="6"/>
  <c r="BZ70" i="6"/>
  <c r="CU68" i="6"/>
  <c r="CV68" i="6"/>
  <c r="CU66" i="6"/>
  <c r="CV66" i="6"/>
  <c r="DF68" i="6"/>
  <c r="DG68" i="6"/>
  <c r="CJ63" i="6"/>
  <c r="CK63" i="6"/>
  <c r="CJ64" i="6"/>
  <c r="CK64" i="6"/>
  <c r="CV6" i="6"/>
  <c r="CU6" i="6"/>
  <c r="DI69" i="6"/>
  <c r="DH61" i="6"/>
  <c r="DI61" i="6"/>
  <c r="DH72" i="6"/>
  <c r="DI71" i="6"/>
  <c r="CM67" i="6"/>
  <c r="CL71" i="6"/>
  <c r="CA62" i="6"/>
  <c r="CW68" i="6"/>
  <c r="CA65" i="6"/>
  <c r="DH71" i="6"/>
  <c r="DH64" i="6"/>
  <c r="DH62" i="6"/>
  <c r="CM65" i="6"/>
  <c r="CL68" i="6"/>
  <c r="CW70" i="6"/>
  <c r="CW71" i="6"/>
  <c r="CM60" i="6"/>
  <c r="CL66" i="6"/>
  <c r="DH63" i="6"/>
  <c r="DI65" i="6"/>
  <c r="DH67" i="6"/>
  <c r="DI66" i="6"/>
  <c r="DI64" i="6"/>
  <c r="DI62" i="6"/>
  <c r="CX72" i="6"/>
  <c r="DI68" i="6"/>
  <c r="CW69" i="6"/>
  <c r="DI70" i="6"/>
  <c r="DH60" i="6"/>
  <c r="CW60" i="6"/>
  <c r="CM62" i="6"/>
  <c r="DH70" i="6"/>
  <c r="CW63" i="6"/>
  <c r="DH69" i="6"/>
  <c r="CW61" i="6"/>
  <c r="CM72" i="6"/>
  <c r="CW62" i="6"/>
  <c r="CB63" i="6"/>
  <c r="CA60" i="6"/>
  <c r="CB66" i="6"/>
  <c r="CM70" i="6"/>
  <c r="CB70" i="6"/>
  <c r="CL63" i="6"/>
  <c r="CB72" i="6"/>
  <c r="CX67" i="6"/>
  <c r="CA67" i="6"/>
  <c r="CX71" i="6"/>
  <c r="CA68" i="6"/>
  <c r="CB71" i="6"/>
  <c r="CW66" i="6"/>
  <c r="CC33" i="6" l="1"/>
  <c r="AT101" i="16" s="1" a="1"/>
  <c r="CE33" i="6" a="1"/>
  <c r="BR33" i="6"/>
  <c r="AQ101" i="16" s="1" a="1"/>
  <c r="BT33" i="6" a="1"/>
  <c r="CN33" i="6"/>
  <c r="AW101" i="16" s="1" a="1"/>
  <c r="CP33" i="6" a="1"/>
  <c r="CY33" i="6"/>
  <c r="DA33" i="6" a="1"/>
  <c r="V103" i="16"/>
  <c r="V108" i="16"/>
  <c r="V107" i="16"/>
  <c r="V101" i="16"/>
  <c r="V109" i="16"/>
  <c r="V113" i="16"/>
  <c r="V106" i="16"/>
  <c r="V102" i="16"/>
  <c r="V112" i="16"/>
  <c r="V104" i="16"/>
  <c r="V111" i="16"/>
  <c r="V110" i="16"/>
  <c r="V105" i="16"/>
  <c r="BA6" i="6"/>
  <c r="AI33" i="6"/>
  <c r="AC101" i="16" s="1" a="1"/>
  <c r="AC113" i="16" s="1"/>
  <c r="AF6" i="6"/>
  <c r="AV6" i="6" a="1"/>
  <c r="AV11" i="6" s="1"/>
  <c r="AX11" i="6" s="1"/>
  <c r="X6" i="6"/>
  <c r="AM6" i="6"/>
  <c r="AL6" i="6" s="1" a="1"/>
  <c r="AL6" i="6" s="1"/>
  <c r="AQ6" i="6" s="1"/>
  <c r="AK6" i="6" a="1"/>
  <c r="AK7" i="6" s="1"/>
  <c r="AM7" i="6" s="1"/>
  <c r="W101" i="14" a="1"/>
  <c r="W104" i="14" s="1"/>
  <c r="AC101" i="14" a="1"/>
  <c r="AC102" i="14" s="1"/>
  <c r="Z6" i="6" a="1"/>
  <c r="Z9" i="6" s="1"/>
  <c r="AB9" i="6" s="1"/>
  <c r="O6" i="6" a="1"/>
  <c r="O10" i="6" s="1"/>
  <c r="S10" i="6" s="1"/>
  <c r="AX33" i="6"/>
  <c r="AW33" i="6" s="1" a="1"/>
  <c r="AW33" i="6" s="1"/>
  <c r="BA33" i="6" s="1"/>
  <c r="Z101" i="14" a="1"/>
  <c r="Z105" i="14" s="1"/>
  <c r="AP33" i="6"/>
  <c r="AK33" i="6" a="1"/>
  <c r="AK36" i="6" s="1"/>
  <c r="AM36" i="6" s="1"/>
  <c r="AB33" i="6"/>
  <c r="AA33" i="6" s="1" a="1"/>
  <c r="AA33" i="6" s="1"/>
  <c r="AF33" i="6" s="1"/>
  <c r="Z33" i="6" a="1"/>
  <c r="Z42" i="6" s="1"/>
  <c r="AB42" i="6" s="1"/>
  <c r="Z101" i="16" a="1"/>
  <c r="Z101" i="16" s="1"/>
  <c r="AV33" i="6" a="1"/>
  <c r="AV42" i="6" s="1"/>
  <c r="AX42" i="6" s="1"/>
  <c r="M33" i="6"/>
  <c r="W101" i="16" s="1" a="1"/>
  <c r="O33" i="6" a="1"/>
  <c r="CE47" i="6"/>
  <c r="K99" i="16" s="1"/>
  <c r="BT47" i="6"/>
  <c r="J99" i="16" s="1"/>
  <c r="CP47" i="6"/>
  <c r="L99" i="16" s="1"/>
  <c r="DA47" i="6"/>
  <c r="M99" i="16" s="1"/>
  <c r="BB101" i="16" a="1"/>
  <c r="AE101" i="16" a="1"/>
  <c r="BY6" i="6"/>
  <c r="CK6" i="6"/>
  <c r="DG6" i="6"/>
  <c r="DA17" i="6"/>
  <c r="DC17" i="6" s="1"/>
  <c r="DA18" i="6"/>
  <c r="DC18" i="6" s="1"/>
  <c r="DA15" i="6"/>
  <c r="DC15" i="6" s="1"/>
  <c r="DA7" i="6"/>
  <c r="DC7" i="6" s="1"/>
  <c r="DB7" i="6" s="1" a="1"/>
  <c r="DB7" i="6" s="1"/>
  <c r="DA6" i="6"/>
  <c r="DA11" i="6"/>
  <c r="DC11" i="6" s="1"/>
  <c r="DA14" i="6"/>
  <c r="DC14" i="6" s="1"/>
  <c r="DA16" i="6"/>
  <c r="DC16" i="6" s="1"/>
  <c r="DA9" i="6"/>
  <c r="DC9" i="6" s="1"/>
  <c r="DA10" i="6"/>
  <c r="DC10" i="6" s="1"/>
  <c r="DA13" i="6"/>
  <c r="DC13" i="6" s="1"/>
  <c r="DA8" i="6"/>
  <c r="DC8" i="6" s="1"/>
  <c r="DA12" i="6"/>
  <c r="DC12" i="6" s="1"/>
  <c r="BT14" i="6"/>
  <c r="BV14" i="6" s="1"/>
  <c r="BT7" i="6"/>
  <c r="BV7" i="6" s="1"/>
  <c r="BU7" i="6" s="1" a="1"/>
  <c r="BU7" i="6" s="1"/>
  <c r="BT12" i="6"/>
  <c r="BV12" i="6" s="1"/>
  <c r="BT13" i="6"/>
  <c r="BV13" i="6" s="1"/>
  <c r="BT9" i="6"/>
  <c r="BV9" i="6" s="1"/>
  <c r="BT6" i="6"/>
  <c r="BT10" i="6"/>
  <c r="BV10" i="6" s="1"/>
  <c r="BT18" i="6"/>
  <c r="BV18" i="6" s="1"/>
  <c r="BT16" i="6"/>
  <c r="BV16" i="6" s="1"/>
  <c r="BT15" i="6"/>
  <c r="BT8" i="6"/>
  <c r="BV8" i="6" s="1"/>
  <c r="BT11" i="6"/>
  <c r="BV11" i="6" s="1"/>
  <c r="CE14" i="6"/>
  <c r="CG14" i="6" s="1"/>
  <c r="CE10" i="6"/>
  <c r="CG10" i="6" s="1"/>
  <c r="CE13" i="6"/>
  <c r="CG13" i="6" s="1"/>
  <c r="CE8" i="6"/>
  <c r="CG8" i="6" s="1"/>
  <c r="CE15" i="6"/>
  <c r="CG15" i="6" s="1"/>
  <c r="CE7" i="6"/>
  <c r="CG7" i="6" s="1"/>
  <c r="CF7" i="6" s="1" a="1"/>
  <c r="CF7" i="6" s="1"/>
  <c r="CE12" i="6"/>
  <c r="CG12" i="6" s="1"/>
  <c r="CE18" i="6"/>
  <c r="CG18" i="6" s="1"/>
  <c r="CE16" i="6"/>
  <c r="CE17" i="6"/>
  <c r="CG17" i="6" s="1"/>
  <c r="CE11" i="6"/>
  <c r="CG11" i="6" s="1"/>
  <c r="CE6" i="6"/>
  <c r="CE9" i="6"/>
  <c r="CG9" i="6" s="1"/>
  <c r="AT106" i="14"/>
  <c r="AT102" i="14"/>
  <c r="AT104" i="14"/>
  <c r="AT103" i="14"/>
  <c r="AT101" i="14"/>
  <c r="AT107" i="14"/>
  <c r="AT108" i="14"/>
  <c r="AT105" i="14"/>
  <c r="AT109" i="14"/>
  <c r="AT113" i="14"/>
  <c r="AT112" i="14"/>
  <c r="AT111" i="14"/>
  <c r="AT110" i="14"/>
  <c r="AQ101" i="14"/>
  <c r="AQ102" i="14"/>
  <c r="AQ106" i="14"/>
  <c r="AQ109" i="14"/>
  <c r="AQ107" i="14"/>
  <c r="AQ108" i="14"/>
  <c r="AQ103" i="14"/>
  <c r="AQ110" i="14"/>
  <c r="AQ104" i="14"/>
  <c r="AQ105" i="14"/>
  <c r="AQ112" i="14"/>
  <c r="AQ111" i="14"/>
  <c r="AQ113" i="14"/>
  <c r="CP15" i="6"/>
  <c r="CP14" i="6"/>
  <c r="CP9" i="6"/>
  <c r="CP11" i="6"/>
  <c r="CP16" i="6"/>
  <c r="CP12" i="6"/>
  <c r="CP17" i="6"/>
  <c r="CP7" i="6"/>
  <c r="CP8" i="6"/>
  <c r="CP6" i="6"/>
  <c r="CP10" i="6"/>
  <c r="CP13" i="6"/>
  <c r="CP18" i="6"/>
  <c r="AW108" i="14"/>
  <c r="AW102" i="14"/>
  <c r="AW105" i="14"/>
  <c r="AW103" i="14"/>
  <c r="AW111" i="14"/>
  <c r="AW113" i="14"/>
  <c r="AW101" i="14"/>
  <c r="AW104" i="14"/>
  <c r="AW112" i="14"/>
  <c r="AW109" i="14"/>
  <c r="AW106" i="14"/>
  <c r="AW107" i="14"/>
  <c r="AW110" i="14"/>
  <c r="AS101" i="16" a="1"/>
  <c r="AV101" i="16" a="1"/>
  <c r="AY101" i="16" a="1"/>
  <c r="CA63" i="6"/>
  <c r="DI67" i="6"/>
  <c r="CL69" i="6"/>
  <c r="CX68" i="6"/>
  <c r="CB68" i="6"/>
  <c r="CX70" i="6"/>
  <c r="CM61" i="6"/>
  <c r="DI72" i="6"/>
  <c r="CX61" i="6"/>
  <c r="DI63" i="6"/>
  <c r="CX63" i="6"/>
  <c r="DH65" i="6"/>
  <c r="CM63" i="6"/>
  <c r="CA72" i="6"/>
  <c r="CB65" i="6"/>
  <c r="CB61" i="6"/>
  <c r="CX62" i="6"/>
  <c r="CX64" i="6"/>
  <c r="CL70" i="6"/>
  <c r="CA64" i="6"/>
  <c r="DI60" i="6"/>
  <c r="CM64" i="6"/>
  <c r="CW65" i="6"/>
  <c r="CL65" i="6"/>
  <c r="CM71" i="6"/>
  <c r="CA71" i="6"/>
  <c r="CX60" i="6"/>
  <c r="CX65" i="6"/>
  <c r="CX66" i="6"/>
  <c r="CA69" i="6"/>
  <c r="CB67" i="6"/>
  <c r="CL67" i="6"/>
  <c r="CA66" i="6"/>
  <c r="CW72" i="6"/>
  <c r="CB64" i="6"/>
  <c r="CM66" i="6"/>
  <c r="CL60" i="6"/>
  <c r="CB69" i="6"/>
  <c r="CA70" i="6"/>
  <c r="CX69" i="6"/>
  <c r="CW67" i="6"/>
  <c r="CA61" i="6"/>
  <c r="CL61" i="6"/>
  <c r="CB60" i="6"/>
  <c r="CL64" i="6"/>
  <c r="DH66" i="6"/>
  <c r="CL62" i="6"/>
  <c r="CL72" i="6"/>
  <c r="CM68" i="6"/>
  <c r="CW64" i="6"/>
  <c r="CM69" i="6"/>
  <c r="CB62" i="6"/>
  <c r="DH68" i="6"/>
  <c r="DA36" i="6" l="1"/>
  <c r="DC36" i="6" s="1"/>
  <c r="DA37" i="6"/>
  <c r="DC37" i="6" s="1"/>
  <c r="DA42" i="6"/>
  <c r="DC42" i="6" s="1"/>
  <c r="DA38" i="6"/>
  <c r="DC38" i="6" s="1"/>
  <c r="DA43" i="6"/>
  <c r="DC43" i="6" s="1"/>
  <c r="DA45" i="6"/>
  <c r="DC45" i="6" s="1"/>
  <c r="DA44" i="6"/>
  <c r="DC44" i="6" s="1"/>
  <c r="DA35" i="6"/>
  <c r="DC35" i="6" s="1"/>
  <c r="DA34" i="6"/>
  <c r="DC34" i="6" s="1"/>
  <c r="DA41" i="6"/>
  <c r="DC41" i="6" s="1"/>
  <c r="DA40" i="6"/>
  <c r="DC40" i="6" s="1"/>
  <c r="DA33" i="6"/>
  <c r="BB101" i="16" s="1"/>
  <c r="DA39" i="6"/>
  <c r="DC39" i="6" s="1"/>
  <c r="BT39" i="6"/>
  <c r="BV39" i="6" s="1"/>
  <c r="BT45" i="6"/>
  <c r="BV45" i="6" s="1"/>
  <c r="BT34" i="6"/>
  <c r="BV34" i="6" s="1"/>
  <c r="BT35" i="6"/>
  <c r="BV35" i="6" s="1"/>
  <c r="BT37" i="6"/>
  <c r="BV37" i="6" s="1"/>
  <c r="BT33" i="6"/>
  <c r="AS101" i="16" s="1"/>
  <c r="BT38" i="6"/>
  <c r="BV38" i="6" s="1"/>
  <c r="BT42" i="6"/>
  <c r="BV42" i="6" s="1"/>
  <c r="BT44" i="6"/>
  <c r="BV44" i="6" s="1"/>
  <c r="BT40" i="6"/>
  <c r="BV40" i="6" s="1"/>
  <c r="BT41" i="6"/>
  <c r="BV41" i="6" s="1"/>
  <c r="BT36" i="6"/>
  <c r="BV36" i="6" s="1"/>
  <c r="BT43" i="6"/>
  <c r="BV43" i="6" s="1"/>
  <c r="AQ103" i="16"/>
  <c r="AQ111" i="16"/>
  <c r="AQ106" i="16"/>
  <c r="AQ113" i="16"/>
  <c r="AQ112" i="16"/>
  <c r="AQ108" i="16"/>
  <c r="AQ107" i="16"/>
  <c r="AQ104" i="16"/>
  <c r="AQ105" i="16"/>
  <c r="AQ101" i="16"/>
  <c r="AQ110" i="16"/>
  <c r="AQ109" i="16"/>
  <c r="AQ102" i="16"/>
  <c r="CP36" i="6"/>
  <c r="CR36" i="6" s="1"/>
  <c r="CP44" i="6"/>
  <c r="CR44" i="6" s="1"/>
  <c r="CP34" i="6"/>
  <c r="CR34" i="6" s="1"/>
  <c r="CP39" i="6"/>
  <c r="CR39" i="6" s="1"/>
  <c r="CP33" i="6"/>
  <c r="AY101" i="16" s="1"/>
  <c r="CP43" i="6"/>
  <c r="CR43" i="6" s="1"/>
  <c r="CP45" i="6"/>
  <c r="CR45" i="6" s="1"/>
  <c r="CP37" i="6"/>
  <c r="CR37" i="6" s="1"/>
  <c r="CP35" i="6"/>
  <c r="CR35" i="6" s="1"/>
  <c r="CP41" i="6"/>
  <c r="CR41" i="6" s="1"/>
  <c r="CP42" i="6"/>
  <c r="CR42" i="6" s="1"/>
  <c r="CP38" i="6"/>
  <c r="CR38" i="6" s="1"/>
  <c r="CP40" i="6"/>
  <c r="CR40" i="6" s="1"/>
  <c r="CE43" i="6"/>
  <c r="CG43" i="6" s="1"/>
  <c r="CE37" i="6"/>
  <c r="CG37" i="6" s="1"/>
  <c r="CE33" i="6"/>
  <c r="AV101" i="16" s="1"/>
  <c r="CE42" i="6"/>
  <c r="CG42" i="6" s="1"/>
  <c r="CE45" i="6"/>
  <c r="CG45" i="6" s="1"/>
  <c r="CE41" i="6"/>
  <c r="CG41" i="6" s="1"/>
  <c r="CE34" i="6"/>
  <c r="CG34" i="6" s="1"/>
  <c r="CE44" i="6"/>
  <c r="CG44" i="6" s="1"/>
  <c r="CE38" i="6"/>
  <c r="CG38" i="6" s="1"/>
  <c r="CE40" i="6"/>
  <c r="CG40" i="6" s="1"/>
  <c r="CE36" i="6"/>
  <c r="CG36" i="6" s="1"/>
  <c r="CE35" i="6"/>
  <c r="CG35" i="6" s="1"/>
  <c r="CE39" i="6"/>
  <c r="CG39" i="6" s="1"/>
  <c r="AW108" i="16"/>
  <c r="AW106" i="16"/>
  <c r="AW113" i="16"/>
  <c r="AW105" i="16"/>
  <c r="AW101" i="16"/>
  <c r="AW112" i="16"/>
  <c r="AW102" i="16"/>
  <c r="AW109" i="16"/>
  <c r="AW107" i="16"/>
  <c r="AW111" i="16"/>
  <c r="AW103" i="16"/>
  <c r="AW110" i="16"/>
  <c r="AW104" i="16"/>
  <c r="AT103" i="16"/>
  <c r="AT107" i="16"/>
  <c r="AT112" i="16"/>
  <c r="AT104" i="16"/>
  <c r="AT102" i="16"/>
  <c r="AT101" i="16"/>
  <c r="AT105" i="16"/>
  <c r="AT108" i="16"/>
  <c r="AT110" i="16"/>
  <c r="AT109" i="16"/>
  <c r="AT106" i="16"/>
  <c r="AT113" i="16"/>
  <c r="AT111" i="16"/>
  <c r="AC105" i="14"/>
  <c r="AC107" i="14"/>
  <c r="AC110" i="14"/>
  <c r="AV8" i="6"/>
  <c r="AX8" i="6" s="1"/>
  <c r="W103" i="14"/>
  <c r="AC111" i="16"/>
  <c r="W112" i="14"/>
  <c r="AV13" i="6"/>
  <c r="AX13" i="6" s="1"/>
  <c r="AV17" i="6"/>
  <c r="AX17" i="6" s="1"/>
  <c r="W105" i="14"/>
  <c r="W106" i="14"/>
  <c r="AV9" i="6"/>
  <c r="AX9" i="6" s="1"/>
  <c r="AV12" i="6"/>
  <c r="AX12" i="6" s="1"/>
  <c r="W107" i="14"/>
  <c r="W108" i="14"/>
  <c r="AK18" i="6"/>
  <c r="AM18" i="6" s="1"/>
  <c r="AV7" i="6"/>
  <c r="AX7" i="6" s="1"/>
  <c r="AW7" i="6" s="1" a="1"/>
  <c r="AW7" i="6" s="1"/>
  <c r="BA7" i="6" s="1"/>
  <c r="AV10" i="6"/>
  <c r="AX10" i="6" s="1"/>
  <c r="W102" i="14"/>
  <c r="W111" i="14"/>
  <c r="AV16" i="6"/>
  <c r="AX16" i="6" s="1"/>
  <c r="AV15" i="6"/>
  <c r="AX15" i="6" s="1"/>
  <c r="AK12" i="6"/>
  <c r="AM12" i="6" s="1"/>
  <c r="AK11" i="6"/>
  <c r="AM11" i="6" s="1"/>
  <c r="AK33" i="6"/>
  <c r="AE101" i="16" s="1"/>
  <c r="AK9" i="6"/>
  <c r="AM9" i="6" s="1"/>
  <c r="Z102" i="14"/>
  <c r="AC104" i="14"/>
  <c r="AC106" i="14"/>
  <c r="AC112" i="16"/>
  <c r="AC108" i="14"/>
  <c r="W110" i="14"/>
  <c r="W101" i="14"/>
  <c r="W109" i="14"/>
  <c r="AV14" i="6"/>
  <c r="AX14" i="6" s="1"/>
  <c r="AV18" i="6"/>
  <c r="AX18" i="6" s="1"/>
  <c r="AV6" i="6"/>
  <c r="AH101" i="14" s="1" a="1"/>
  <c r="AH106" i="14" s="1"/>
  <c r="W113" i="14"/>
  <c r="AC104" i="16"/>
  <c r="Z7" i="6"/>
  <c r="AB7" i="6" s="1"/>
  <c r="AA7" i="6" s="1" a="1"/>
  <c r="AA7" i="6" s="1"/>
  <c r="AE7" i="6" s="1"/>
  <c r="Z13" i="6"/>
  <c r="AB13" i="6" s="1"/>
  <c r="AL7" i="6" a="1"/>
  <c r="AL7" i="6" s="1"/>
  <c r="AP7" i="6" s="1"/>
  <c r="Z14" i="6"/>
  <c r="AB14" i="6" s="1"/>
  <c r="Z12" i="6"/>
  <c r="AB12" i="6" s="1"/>
  <c r="Z16" i="6"/>
  <c r="AB16" i="6" s="1"/>
  <c r="AP6" i="6"/>
  <c r="Z15" i="6"/>
  <c r="AB15" i="6" s="1"/>
  <c r="Z11" i="6"/>
  <c r="AB11" i="6" s="1"/>
  <c r="Z8" i="6"/>
  <c r="AB8" i="6" s="1"/>
  <c r="Z18" i="6"/>
  <c r="AB18" i="6" s="1"/>
  <c r="Z34" i="6"/>
  <c r="AB34" i="6" s="1"/>
  <c r="AA34" i="6" s="1" a="1"/>
  <c r="AA34" i="6" s="1"/>
  <c r="AF34" i="6" s="1"/>
  <c r="Z17" i="6"/>
  <c r="AB17" i="6" s="1"/>
  <c r="Z10" i="6"/>
  <c r="AB10" i="6" s="1"/>
  <c r="Z6" i="6"/>
  <c r="AB101" i="14" s="1" a="1"/>
  <c r="Z36" i="6"/>
  <c r="AB36" i="6" s="1"/>
  <c r="O6" i="6"/>
  <c r="S6" i="6" s="1"/>
  <c r="R6" i="6" s="1" a="1"/>
  <c r="R6" i="6" s="1"/>
  <c r="V6" i="6" s="1"/>
  <c r="AK13" i="6"/>
  <c r="AM13" i="6" s="1"/>
  <c r="AK6" i="6"/>
  <c r="AE101" i="14" s="1"/>
  <c r="AK17" i="6"/>
  <c r="AM17" i="6" s="1"/>
  <c r="AC109" i="16"/>
  <c r="AK44" i="6"/>
  <c r="AM44" i="6" s="1"/>
  <c r="AK8" i="6"/>
  <c r="AM8" i="6" s="1"/>
  <c r="AL9" i="6" s="1" a="1"/>
  <c r="AL9" i="6" s="1"/>
  <c r="AQ9" i="6" s="1"/>
  <c r="Z37" i="6"/>
  <c r="AB37" i="6" s="1"/>
  <c r="O15" i="6"/>
  <c r="S15" i="6" s="1"/>
  <c r="AK10" i="6"/>
  <c r="AM10" i="6" s="1"/>
  <c r="AK14" i="6"/>
  <c r="AM14" i="6" s="1"/>
  <c r="AK15" i="6"/>
  <c r="AM15" i="6" s="1"/>
  <c r="AK16" i="6"/>
  <c r="AM16" i="6" s="1"/>
  <c r="Z111" i="14"/>
  <c r="AC107" i="16"/>
  <c r="AC101" i="16"/>
  <c r="AC103" i="14"/>
  <c r="AC109" i="14"/>
  <c r="AC101" i="14"/>
  <c r="Z109" i="14"/>
  <c r="AC106" i="16"/>
  <c r="AC113" i="14"/>
  <c r="AC112" i="14"/>
  <c r="AC111" i="14"/>
  <c r="AE104" i="16"/>
  <c r="O18" i="6"/>
  <c r="S18" i="6" s="1"/>
  <c r="O14" i="6"/>
  <c r="S14" i="6" s="1"/>
  <c r="O13" i="6"/>
  <c r="S13" i="6" s="1"/>
  <c r="AK37" i="6"/>
  <c r="AM37" i="6" s="1"/>
  <c r="AK39" i="6"/>
  <c r="AM39" i="6" s="1"/>
  <c r="O9" i="6"/>
  <c r="S9" i="6" s="1"/>
  <c r="Z102" i="16"/>
  <c r="O11" i="6"/>
  <c r="S11" i="6" s="1"/>
  <c r="O8" i="6"/>
  <c r="S8" i="6" s="1"/>
  <c r="AK42" i="6"/>
  <c r="AM42" i="6" s="1"/>
  <c r="AK35" i="6"/>
  <c r="AM35" i="6" s="1"/>
  <c r="O16" i="6"/>
  <c r="S16" i="6" s="1"/>
  <c r="O17" i="6"/>
  <c r="S17" i="6" s="1"/>
  <c r="AK40" i="6"/>
  <c r="AM40" i="6" s="1"/>
  <c r="AK38" i="6"/>
  <c r="AM38" i="6" s="1"/>
  <c r="AK41" i="6"/>
  <c r="AM41" i="6" s="1"/>
  <c r="O12" i="6"/>
  <c r="S12" i="6" s="1"/>
  <c r="O7" i="6"/>
  <c r="S7" i="6" s="1"/>
  <c r="Z108" i="14"/>
  <c r="Z101" i="14"/>
  <c r="BB33" i="6"/>
  <c r="AC102" i="16"/>
  <c r="AC103" i="16"/>
  <c r="AC105" i="16"/>
  <c r="AE33" i="6"/>
  <c r="Z112" i="14"/>
  <c r="Z104" i="14"/>
  <c r="Z113" i="14"/>
  <c r="Z110" i="14"/>
  <c r="Z106" i="14"/>
  <c r="Z107" i="14"/>
  <c r="Z103" i="14"/>
  <c r="AC110" i="16"/>
  <c r="AC108" i="16"/>
  <c r="Z103" i="16"/>
  <c r="AK43" i="6"/>
  <c r="AM43" i="6" s="1"/>
  <c r="AK45" i="6"/>
  <c r="AM45" i="6" s="1"/>
  <c r="AK34" i="6"/>
  <c r="AM34" i="6" s="1"/>
  <c r="AL34" i="6" s="1" a="1"/>
  <c r="AL34" i="6" s="1"/>
  <c r="AQ34" i="6" s="1"/>
  <c r="Z104" i="16"/>
  <c r="Z112" i="16"/>
  <c r="Z113" i="16"/>
  <c r="Z45" i="6"/>
  <c r="AB45" i="6" s="1"/>
  <c r="Z43" i="6"/>
  <c r="AB43" i="6" s="1"/>
  <c r="Y101" i="14" a="1"/>
  <c r="Y105" i="14" s="1"/>
  <c r="Z105" i="16"/>
  <c r="Z106" i="16"/>
  <c r="Z110" i="16"/>
  <c r="AE101" i="14" a="1"/>
  <c r="Z107" i="16"/>
  <c r="Z111" i="16"/>
  <c r="Z108" i="16"/>
  <c r="Z109" i="16"/>
  <c r="AV35" i="6"/>
  <c r="AX35" i="6" s="1"/>
  <c r="AV40" i="6"/>
  <c r="AX40" i="6" s="1"/>
  <c r="AV33" i="6"/>
  <c r="Z35" i="6"/>
  <c r="AB35" i="6" s="1"/>
  <c r="Z38" i="6"/>
  <c r="AB38" i="6" s="1"/>
  <c r="Z40" i="6"/>
  <c r="AB40" i="6" s="1"/>
  <c r="Z39" i="6"/>
  <c r="AB39" i="6" s="1"/>
  <c r="AV39" i="6"/>
  <c r="AX39" i="6" s="1"/>
  <c r="Z41" i="6"/>
  <c r="AB41" i="6" s="1"/>
  <c r="AV34" i="6"/>
  <c r="AX34" i="6" s="1"/>
  <c r="AW34" i="6" s="1" a="1"/>
  <c r="AW34" i="6" s="1"/>
  <c r="BB34" i="6" s="1"/>
  <c r="Z44" i="6"/>
  <c r="AB44" i="6" s="1"/>
  <c r="Z33" i="6"/>
  <c r="AV37" i="6"/>
  <c r="AX37" i="6" s="1"/>
  <c r="AV44" i="6"/>
  <c r="AX44" i="6" s="1"/>
  <c r="AV43" i="6"/>
  <c r="AX43" i="6" s="1"/>
  <c r="AV38" i="6"/>
  <c r="AX38" i="6" s="1"/>
  <c r="AV45" i="6"/>
  <c r="AX45" i="6" s="1"/>
  <c r="AV41" i="6"/>
  <c r="AX41" i="6" s="1"/>
  <c r="AV36" i="6"/>
  <c r="AX36" i="6" s="1"/>
  <c r="O38" i="6"/>
  <c r="O45" i="6"/>
  <c r="O39" i="6"/>
  <c r="O44" i="6"/>
  <c r="O34" i="6"/>
  <c r="O41" i="6"/>
  <c r="O35" i="6"/>
  <c r="O43" i="6"/>
  <c r="O36" i="6"/>
  <c r="O33" i="6"/>
  <c r="O37" i="6"/>
  <c r="O42" i="6"/>
  <c r="O40" i="6"/>
  <c r="W111" i="16"/>
  <c r="W106" i="16"/>
  <c r="W112" i="16"/>
  <c r="W108" i="16"/>
  <c r="W102" i="16"/>
  <c r="W104" i="16"/>
  <c r="W107" i="16"/>
  <c r="W103" i="16"/>
  <c r="W113" i="16"/>
  <c r="W105" i="16"/>
  <c r="W109" i="16"/>
  <c r="W110" i="16"/>
  <c r="W101" i="16"/>
  <c r="AB104" i="14"/>
  <c r="BT20" i="6"/>
  <c r="J99" i="14" s="1"/>
  <c r="CP20" i="6"/>
  <c r="L99" i="14" s="1"/>
  <c r="CE20" i="6"/>
  <c r="K99" i="14" s="1"/>
  <c r="DA20" i="6"/>
  <c r="M99" i="14" s="1"/>
  <c r="AE102" i="14"/>
  <c r="AY101" i="14" a="1"/>
  <c r="AY107" i="14" s="1"/>
  <c r="BB102" i="16"/>
  <c r="AV101" i="14" a="1"/>
  <c r="AV101" i="14" s="1"/>
  <c r="BB101" i="14" a="1"/>
  <c r="BB101" i="14" s="1"/>
  <c r="BB109" i="16"/>
  <c r="AS101" i="14" a="1"/>
  <c r="AS112" i="14" s="1"/>
  <c r="BB111" i="16"/>
  <c r="BB107" i="16"/>
  <c r="CF8" i="6" a="1"/>
  <c r="CF8" i="6" s="1"/>
  <c r="CJ8" i="6" s="1"/>
  <c r="CF10" i="6" a="1"/>
  <c r="CF10" i="6" s="1"/>
  <c r="CJ10" i="6" s="1"/>
  <c r="CF11" i="6" a="1"/>
  <c r="CF11" i="6" s="1"/>
  <c r="CJ11" i="6" s="1"/>
  <c r="BU12" i="6" a="1"/>
  <c r="BU12" i="6" s="1"/>
  <c r="BZ12" i="6" s="1"/>
  <c r="CF9" i="6" a="1"/>
  <c r="CF9" i="6" s="1"/>
  <c r="CJ9" i="6" s="1"/>
  <c r="CF12" i="6" a="1"/>
  <c r="CF12" i="6" s="1"/>
  <c r="CK12" i="6" s="1"/>
  <c r="BU11" i="6" a="1"/>
  <c r="BU11" i="6" s="1"/>
  <c r="BZ11" i="6" s="1"/>
  <c r="DB8" i="6" a="1"/>
  <c r="DB8" i="6" s="1"/>
  <c r="DG8" i="6" s="1"/>
  <c r="DB9" i="6" a="1"/>
  <c r="DB9" i="6" s="1"/>
  <c r="DF9" i="6" s="1"/>
  <c r="DB12" i="6" a="1"/>
  <c r="DB12" i="6" s="1"/>
  <c r="DG12" i="6" s="1"/>
  <c r="DB14" i="6" a="1"/>
  <c r="DB14" i="6" s="1"/>
  <c r="DG14" i="6" s="1"/>
  <c r="DB11" i="6" a="1"/>
  <c r="DB11" i="6" s="1"/>
  <c r="DG11" i="6" s="1"/>
  <c r="DB15" i="6" a="1"/>
  <c r="DB15" i="6" s="1"/>
  <c r="DF15" i="6" s="1"/>
  <c r="DB10" i="6" a="1"/>
  <c r="DB10" i="6" s="1"/>
  <c r="DF10" i="6" s="1"/>
  <c r="DB16" i="6" a="1"/>
  <c r="DB16" i="6" s="1"/>
  <c r="DF16" i="6" s="1"/>
  <c r="BU10" i="6" a="1"/>
  <c r="BU10" i="6" s="1"/>
  <c r="BZ10" i="6" s="1"/>
  <c r="CF15" i="6" a="1"/>
  <c r="CF15" i="6" s="1"/>
  <c r="CK15" i="6" s="1"/>
  <c r="DB17" i="6" a="1"/>
  <c r="DB17" i="6" s="1"/>
  <c r="DB18" i="6" a="1"/>
  <c r="DB18" i="6" s="1"/>
  <c r="DG18" i="6" s="1"/>
  <c r="BU13" i="6" a="1"/>
  <c r="BU13" i="6" s="1"/>
  <c r="BZ13" i="6" s="1"/>
  <c r="CF13" i="6" a="1"/>
  <c r="CF13" i="6" s="1"/>
  <c r="CJ13" i="6" s="1"/>
  <c r="CF14" i="6" a="1"/>
  <c r="CF14" i="6" s="1"/>
  <c r="CK14" i="6" s="1"/>
  <c r="BU8" i="6" a="1"/>
  <c r="BU8" i="6" s="1"/>
  <c r="BY8" i="6" s="1"/>
  <c r="BU9" i="6" a="1"/>
  <c r="BU9" i="6" s="1"/>
  <c r="BY9" i="6" s="1"/>
  <c r="DB13" i="6" a="1"/>
  <c r="DB13" i="6" s="1"/>
  <c r="DF13" i="6" s="1"/>
  <c r="DA21" i="6"/>
  <c r="M114" i="14" s="1"/>
  <c r="BU14" i="6" a="1"/>
  <c r="BU14" i="6" s="1"/>
  <c r="BY14" i="6" s="1"/>
  <c r="BT21" i="6"/>
  <c r="J114" i="14" s="1"/>
  <c r="BV15" i="6"/>
  <c r="BU18" i="6" s="1" a="1"/>
  <c r="BU18" i="6" s="1"/>
  <c r="CE21" i="6"/>
  <c r="K114" i="14" s="1"/>
  <c r="CG16" i="6"/>
  <c r="CR7" i="6"/>
  <c r="CR17" i="6"/>
  <c r="CR12" i="6"/>
  <c r="CR18" i="6"/>
  <c r="CR16" i="6"/>
  <c r="CR13" i="6"/>
  <c r="CR11" i="6"/>
  <c r="CR10" i="6"/>
  <c r="CR9" i="6"/>
  <c r="CP21" i="6"/>
  <c r="L114" i="14" s="1"/>
  <c r="CR14" i="6"/>
  <c r="CR8" i="6"/>
  <c r="CR15" i="6"/>
  <c r="AS104" i="16"/>
  <c r="AS110" i="16"/>
  <c r="AS111" i="16"/>
  <c r="AY110" i="16"/>
  <c r="AV104" i="16"/>
  <c r="AV111" i="16"/>
  <c r="AV113" i="16"/>
  <c r="AS112" i="16"/>
  <c r="AS107" i="16"/>
  <c r="AV107" i="16"/>
  <c r="AY111" i="16"/>
  <c r="AY112" i="16"/>
  <c r="CJ7" i="6"/>
  <c r="CK7" i="6"/>
  <c r="DF7" i="6"/>
  <c r="DG7" i="6"/>
  <c r="BY7" i="6"/>
  <c r="BZ7" i="6"/>
  <c r="AY103" i="16" l="1"/>
  <c r="AY108" i="16"/>
  <c r="AY104" i="16"/>
  <c r="BC104" i="16" s="1"/>
  <c r="BD104" i="16" s="1"/>
  <c r="AS103" i="16"/>
  <c r="AV108" i="16"/>
  <c r="AY113" i="16"/>
  <c r="AV105" i="16"/>
  <c r="BB103" i="16"/>
  <c r="AY102" i="16"/>
  <c r="AS113" i="16"/>
  <c r="BC113" i="16" s="1"/>
  <c r="BD113" i="16" s="1"/>
  <c r="AY106" i="16"/>
  <c r="AS102" i="16"/>
  <c r="AS105" i="16"/>
  <c r="AV106" i="16"/>
  <c r="AV109" i="16"/>
  <c r="BB105" i="16"/>
  <c r="BB113" i="16"/>
  <c r="BB106" i="16"/>
  <c r="AB112" i="14"/>
  <c r="AS109" i="16"/>
  <c r="AV102" i="16"/>
  <c r="AY105" i="16"/>
  <c r="AY107" i="16"/>
  <c r="AS106" i="16"/>
  <c r="CR33" i="6"/>
  <c r="CP48" i="6"/>
  <c r="L114" i="16" s="1"/>
  <c r="BT48" i="6"/>
  <c r="J114" i="16" s="1"/>
  <c r="BV33" i="6"/>
  <c r="AS108" i="16"/>
  <c r="AV112" i="16"/>
  <c r="BC112" i="16" s="1"/>
  <c r="BD112" i="16" s="1"/>
  <c r="CG33" i="6"/>
  <c r="CE48" i="6"/>
  <c r="K114" i="16" s="1"/>
  <c r="AV110" i="16"/>
  <c r="AV103" i="16"/>
  <c r="BB108" i="16"/>
  <c r="BB110" i="16"/>
  <c r="BB112" i="16"/>
  <c r="AY109" i="16"/>
  <c r="DA48" i="6"/>
  <c r="M114" i="16" s="1"/>
  <c r="DC33" i="6"/>
  <c r="BB104" i="16"/>
  <c r="AE111" i="14"/>
  <c r="AW12" i="6" a="1"/>
  <c r="AW12" i="6" s="1"/>
  <c r="BB12" i="6" s="1"/>
  <c r="AE113" i="14"/>
  <c r="AH113" i="14"/>
  <c r="AB102" i="14"/>
  <c r="AH108" i="14"/>
  <c r="AE106" i="14"/>
  <c r="AH104" i="14"/>
  <c r="Y110" i="14"/>
  <c r="Y101" i="14"/>
  <c r="AB106" i="14"/>
  <c r="AB107" i="14"/>
  <c r="AH103" i="14"/>
  <c r="AF7" i="6"/>
  <c r="R7" i="6" a="1"/>
  <c r="R7" i="6" s="1"/>
  <c r="W7" i="6" s="1"/>
  <c r="AE104" i="14"/>
  <c r="AH105" i="14"/>
  <c r="AH110" i="14"/>
  <c r="W6" i="6"/>
  <c r="AB110" i="14"/>
  <c r="AE34" i="6"/>
  <c r="AE107" i="14"/>
  <c r="Y111" i="14"/>
  <c r="AE103" i="16"/>
  <c r="AB109" i="14"/>
  <c r="Y108" i="14"/>
  <c r="AH109" i="14"/>
  <c r="AA35" i="6" a="1"/>
  <c r="AA35" i="6" s="1"/>
  <c r="AF35" i="6" s="1"/>
  <c r="AW11" i="6" a="1"/>
  <c r="AW11" i="6" s="1"/>
  <c r="BA11" i="6" s="1"/>
  <c r="AH112" i="14"/>
  <c r="AH107" i="14"/>
  <c r="AW18" i="6" a="1"/>
  <c r="AW18" i="6" s="1"/>
  <c r="BB18" i="6" s="1"/>
  <c r="AH111" i="14"/>
  <c r="AW8" i="6" a="1"/>
  <c r="AW8" i="6" s="1"/>
  <c r="BB8" i="6" s="1"/>
  <c r="AW9" i="6" a="1"/>
  <c r="AW9" i="6" s="1"/>
  <c r="BA9" i="6" s="1"/>
  <c r="BB7" i="6"/>
  <c r="AH102" i="14"/>
  <c r="AW16" i="6" a="1"/>
  <c r="AW16" i="6" s="1"/>
  <c r="BB16" i="6" s="1"/>
  <c r="AW17" i="6" a="1"/>
  <c r="AW17" i="6" s="1"/>
  <c r="BA17" i="6" s="1"/>
  <c r="AW13" i="6" a="1"/>
  <c r="AW13" i="6" s="1"/>
  <c r="BB13" i="6" s="1"/>
  <c r="AW14" i="6" a="1"/>
  <c r="AW14" i="6" s="1"/>
  <c r="BA14" i="6" s="1"/>
  <c r="AW15" i="6" a="1"/>
  <c r="AW15" i="6" s="1"/>
  <c r="BB15" i="6" s="1"/>
  <c r="AW10" i="6" a="1"/>
  <c r="AW10" i="6" s="1"/>
  <c r="BA10" i="6" s="1"/>
  <c r="AA18" i="6" a="1"/>
  <c r="AA18" i="6" s="1"/>
  <c r="AE18" i="6" s="1"/>
  <c r="AA14" i="6" a="1"/>
  <c r="AA14" i="6" s="1"/>
  <c r="AE14" i="6" s="1"/>
  <c r="Y113" i="14"/>
  <c r="AA12" i="6" a="1"/>
  <c r="AA12" i="6" s="1"/>
  <c r="AE12" i="6" s="1"/>
  <c r="AV20" i="6"/>
  <c r="F99" i="14" s="1"/>
  <c r="Y107" i="14"/>
  <c r="AA10" i="6" a="1"/>
  <c r="AA10" i="6" s="1"/>
  <c r="AF10" i="6" s="1"/>
  <c r="AE105" i="14"/>
  <c r="AE108" i="16"/>
  <c r="AV21" i="6"/>
  <c r="F114" i="14" s="1"/>
  <c r="AB101" i="14"/>
  <c r="AI101" i="14" s="1"/>
  <c r="AJ101" i="14" s="1"/>
  <c r="R9" i="6" a="1"/>
  <c r="R9" i="6" s="1"/>
  <c r="V9" i="6" s="1"/>
  <c r="AA11" i="6" a="1"/>
  <c r="AA11" i="6" s="1"/>
  <c r="AE11" i="6" s="1"/>
  <c r="AE112" i="16"/>
  <c r="AB105" i="14"/>
  <c r="AH101" i="14"/>
  <c r="AA9" i="6" a="1"/>
  <c r="AA9" i="6" s="1"/>
  <c r="AE9" i="6" s="1"/>
  <c r="AL10" i="6" a="1"/>
  <c r="AL10" i="6" s="1"/>
  <c r="AP10" i="6" s="1"/>
  <c r="R14" i="6" a="1"/>
  <c r="R14" i="6" s="1"/>
  <c r="W14" i="6" s="1"/>
  <c r="Z20" i="6"/>
  <c r="D99" i="14" s="1"/>
  <c r="AE108" i="14"/>
  <c r="AE107" i="16"/>
  <c r="AB111" i="14"/>
  <c r="AB103" i="14"/>
  <c r="Y103" i="14"/>
  <c r="AA13" i="6" a="1"/>
  <c r="AA13" i="6" s="1"/>
  <c r="AF13" i="6" s="1"/>
  <c r="AA16" i="6" a="1"/>
  <c r="AA16" i="6" s="1"/>
  <c r="AE16" i="6" s="1"/>
  <c r="AA8" i="6" a="1"/>
  <c r="AA8" i="6" s="1"/>
  <c r="AE8" i="6" s="1"/>
  <c r="AQ7" i="6"/>
  <c r="AB108" i="14"/>
  <c r="AE113" i="16"/>
  <c r="Y112" i="14"/>
  <c r="AA15" i="6" a="1"/>
  <c r="AA15" i="6" s="1"/>
  <c r="AF15" i="6" s="1"/>
  <c r="AA17" i="6" a="1"/>
  <c r="AA17" i="6" s="1"/>
  <c r="AE17" i="6" s="1"/>
  <c r="AL8" i="6" a="1"/>
  <c r="AL8" i="6" s="1"/>
  <c r="AA36" i="6" a="1"/>
  <c r="AA36" i="6" s="1"/>
  <c r="AE36" i="6" s="1"/>
  <c r="AB113" i="14"/>
  <c r="Y104" i="14"/>
  <c r="R8" i="6" a="1"/>
  <c r="R8" i="6" s="1"/>
  <c r="V8" i="6" s="1"/>
  <c r="R12" i="6" a="1"/>
  <c r="R12" i="6" s="1"/>
  <c r="V12" i="6" s="1"/>
  <c r="AL11" i="6" a="1"/>
  <c r="AL11" i="6" s="1"/>
  <c r="AQ11" i="6" s="1"/>
  <c r="AL17" i="6" a="1"/>
  <c r="AL17" i="6" s="1"/>
  <c r="AP17" i="6" s="1"/>
  <c r="Y109" i="14"/>
  <c r="R10" i="6" a="1"/>
  <c r="R10" i="6" s="1"/>
  <c r="V10" i="6" s="1"/>
  <c r="AL15" i="6" a="1"/>
  <c r="AL15" i="6" s="1"/>
  <c r="AP15" i="6" s="1"/>
  <c r="AL14" i="6" a="1"/>
  <c r="AL14" i="6" s="1"/>
  <c r="AP14" i="6" s="1"/>
  <c r="AE110" i="16"/>
  <c r="AE103" i="14"/>
  <c r="AE109" i="14"/>
  <c r="Y102" i="14"/>
  <c r="AI102" i="14" s="1"/>
  <c r="AJ102" i="14" s="1"/>
  <c r="Z21" i="6"/>
  <c r="D114" i="14" s="1"/>
  <c r="AL13" i="6" a="1"/>
  <c r="AL13" i="6" s="1"/>
  <c r="AP13" i="6" s="1"/>
  <c r="AL12" i="6" a="1"/>
  <c r="AL12" i="6" s="1"/>
  <c r="AQ12" i="6" s="1"/>
  <c r="R16" i="6" a="1"/>
  <c r="R16" i="6" s="1"/>
  <c r="W16" i="6" s="1"/>
  <c r="AL18" i="6" a="1"/>
  <c r="AL18" i="6" s="1"/>
  <c r="AP18" i="6" s="1"/>
  <c r="AE110" i="14"/>
  <c r="AL16" i="6" a="1"/>
  <c r="AL16" i="6" s="1"/>
  <c r="AP16" i="6" s="1"/>
  <c r="AK21" i="6"/>
  <c r="E114" i="14" s="1"/>
  <c r="AK20" i="6"/>
  <c r="E99" i="14" s="1"/>
  <c r="AE112" i="14"/>
  <c r="AE106" i="16"/>
  <c r="R13" i="6" a="1"/>
  <c r="R13" i="6" s="1"/>
  <c r="V13" i="6" s="1"/>
  <c r="AL37" i="6" a="1"/>
  <c r="AL37" i="6" s="1"/>
  <c r="AP37" i="6" s="1"/>
  <c r="AE105" i="16"/>
  <c r="AE111" i="16"/>
  <c r="Y106" i="14"/>
  <c r="R11" i="6" a="1"/>
  <c r="R11" i="6" s="1"/>
  <c r="W11" i="6" s="1"/>
  <c r="R18" i="6" a="1"/>
  <c r="R18" i="6" s="1"/>
  <c r="W18" i="6" s="1"/>
  <c r="O21" i="6"/>
  <c r="C114" i="14" s="1"/>
  <c r="AE109" i="16"/>
  <c r="R17" i="6" a="1"/>
  <c r="R17" i="6" s="1"/>
  <c r="W17" i="6" s="1"/>
  <c r="AK48" i="6"/>
  <c r="E114" i="16" s="1"/>
  <c r="R15" i="6" a="1"/>
  <c r="R15" i="6" s="1"/>
  <c r="W15" i="6" s="1"/>
  <c r="O20" i="6"/>
  <c r="C99" i="14" s="1"/>
  <c r="AA37" i="6" a="1"/>
  <c r="AA37" i="6" s="1"/>
  <c r="AE37" i="6" s="1"/>
  <c r="AL43" i="6" a="1"/>
  <c r="AL43" i="6" s="1"/>
  <c r="AQ43" i="6" s="1"/>
  <c r="AL39" i="6" a="1"/>
  <c r="AL39" i="6" s="1"/>
  <c r="AP39" i="6" s="1"/>
  <c r="AL40" i="6" a="1"/>
  <c r="AL40" i="6" s="1"/>
  <c r="AP40" i="6" s="1"/>
  <c r="AL38" i="6" a="1"/>
  <c r="AL38" i="6" s="1"/>
  <c r="AQ38" i="6" s="1"/>
  <c r="AL35" i="6" a="1"/>
  <c r="AL35" i="6" s="1"/>
  <c r="AP35" i="6" s="1"/>
  <c r="AP34" i="6"/>
  <c r="AL44" i="6" a="1"/>
  <c r="AL44" i="6" s="1"/>
  <c r="AP44" i="6" s="1"/>
  <c r="AL42" i="6" a="1"/>
  <c r="AL42" i="6" s="1"/>
  <c r="AP42" i="6" s="1"/>
  <c r="AL41" i="6" a="1"/>
  <c r="AL41" i="6" s="1"/>
  <c r="AP41" i="6" s="1"/>
  <c r="AL45" i="6" a="1"/>
  <c r="AL45" i="6" s="1"/>
  <c r="AQ45" i="6" s="1"/>
  <c r="AL36" i="6" a="1"/>
  <c r="AL36" i="6" s="1"/>
  <c r="AQ36" i="6" s="1"/>
  <c r="AE102" i="16"/>
  <c r="AK47" i="6"/>
  <c r="E99" i="16" s="1"/>
  <c r="Z47" i="6"/>
  <c r="D99" i="16" s="1"/>
  <c r="AA41" i="6" a="1"/>
  <c r="AA41" i="6" s="1"/>
  <c r="AE41" i="6" s="1"/>
  <c r="AW36" i="6" a="1"/>
  <c r="AW36" i="6" s="1"/>
  <c r="BB36" i="6" s="1"/>
  <c r="AA39" i="6" a="1"/>
  <c r="AA39" i="6" s="1"/>
  <c r="AF39" i="6" s="1"/>
  <c r="AA38" i="6" a="1"/>
  <c r="AA38" i="6" s="1"/>
  <c r="AE38" i="6" s="1"/>
  <c r="AA44" i="6" a="1"/>
  <c r="AA44" i="6" s="1"/>
  <c r="AF44" i="6" s="1"/>
  <c r="AH101" i="16" a="1"/>
  <c r="AA42" i="6" a="1"/>
  <c r="AA42" i="6" s="1"/>
  <c r="AE42" i="6" s="1"/>
  <c r="Y101" i="16" a="1"/>
  <c r="AA40" i="6" a="1"/>
  <c r="AA40" i="6" s="1"/>
  <c r="AF40" i="6" s="1"/>
  <c r="AB101" i="16" a="1"/>
  <c r="AW35" i="6" a="1"/>
  <c r="AW35" i="6" s="1"/>
  <c r="BA35" i="6" s="1"/>
  <c r="AA45" i="6" a="1"/>
  <c r="AA45" i="6" s="1"/>
  <c r="AF45" i="6" s="1"/>
  <c r="AA43" i="6" a="1"/>
  <c r="AA43" i="6" s="1"/>
  <c r="AF43" i="6" s="1"/>
  <c r="AH105" i="16"/>
  <c r="AW38" i="6" a="1"/>
  <c r="AW38" i="6" s="1"/>
  <c r="BB38" i="6" s="1"/>
  <c r="AH113" i="16"/>
  <c r="AH104" i="16"/>
  <c r="AH112" i="16"/>
  <c r="AW43" i="6" a="1"/>
  <c r="AW43" i="6" s="1"/>
  <c r="BB43" i="6" s="1"/>
  <c r="AH111" i="16"/>
  <c r="AW44" i="6" a="1"/>
  <c r="AW44" i="6" s="1"/>
  <c r="BA44" i="6" s="1"/>
  <c r="AH109" i="16"/>
  <c r="AW40" i="6" a="1"/>
  <c r="AW40" i="6" s="1"/>
  <c r="BA40" i="6" s="1"/>
  <c r="BA34" i="6"/>
  <c r="AW41" i="6" a="1"/>
  <c r="AW41" i="6" s="1"/>
  <c r="BB41" i="6" s="1"/>
  <c r="AV48" i="6"/>
  <c r="F114" i="16" s="1"/>
  <c r="AW39" i="6" a="1"/>
  <c r="AW39" i="6" s="1"/>
  <c r="BA39" i="6" s="1"/>
  <c r="AW45" i="6" a="1"/>
  <c r="AW45" i="6" s="1"/>
  <c r="BA45" i="6" s="1"/>
  <c r="AW42" i="6" a="1"/>
  <c r="AW42" i="6" s="1"/>
  <c r="BA42" i="6" s="1"/>
  <c r="AW37" i="6" a="1"/>
  <c r="AW37" i="6" s="1"/>
  <c r="BA37" i="6" s="1"/>
  <c r="Z48" i="6"/>
  <c r="D114" i="16" s="1"/>
  <c r="S42" i="6"/>
  <c r="Y110" i="16"/>
  <c r="S44" i="6"/>
  <c r="Y112" i="16"/>
  <c r="AV47" i="6"/>
  <c r="F99" i="16" s="1"/>
  <c r="S37" i="6"/>
  <c r="Y105" i="16"/>
  <c r="S39" i="6"/>
  <c r="Y107" i="16"/>
  <c r="S33" i="6"/>
  <c r="Y101" i="16"/>
  <c r="O48" i="6"/>
  <c r="C114" i="16" s="1"/>
  <c r="S45" i="6"/>
  <c r="Y113" i="16"/>
  <c r="Y104" i="16"/>
  <c r="S36" i="6"/>
  <c r="S38" i="6"/>
  <c r="Y106" i="16"/>
  <c r="S43" i="6"/>
  <c r="Y111" i="16"/>
  <c r="S35" i="6"/>
  <c r="Y103" i="16"/>
  <c r="S41" i="6"/>
  <c r="Y109" i="16"/>
  <c r="S40" i="6"/>
  <c r="Y108" i="16"/>
  <c r="O47" i="6"/>
  <c r="C99" i="16" s="1"/>
  <c r="S34" i="6"/>
  <c r="Y102" i="16"/>
  <c r="AP9" i="6"/>
  <c r="BA12" i="6"/>
  <c r="V7" i="6"/>
  <c r="CH6" i="6"/>
  <c r="CI6" i="6" s="1"/>
  <c r="DD6" i="6"/>
  <c r="DE6" i="6" s="1"/>
  <c r="BW6" i="6"/>
  <c r="BX6" i="6" s="1"/>
  <c r="AY101" i="14"/>
  <c r="AS113" i="14"/>
  <c r="AY109" i="14"/>
  <c r="AY108" i="14"/>
  <c r="AY112" i="14"/>
  <c r="AY110" i="14"/>
  <c r="AY111" i="14"/>
  <c r="AY102" i="14"/>
  <c r="AY104" i="14"/>
  <c r="AY103" i="14"/>
  <c r="AY105" i="14"/>
  <c r="AY113" i="14"/>
  <c r="AY106" i="14"/>
  <c r="AS104" i="14"/>
  <c r="AS107" i="14"/>
  <c r="AS106" i="14"/>
  <c r="AS111" i="14"/>
  <c r="AS110" i="14"/>
  <c r="AS109" i="14"/>
  <c r="AS102" i="14"/>
  <c r="AS108" i="14"/>
  <c r="AS103" i="14"/>
  <c r="AS105" i="14"/>
  <c r="BB103" i="14"/>
  <c r="AV108" i="14"/>
  <c r="BB112" i="14"/>
  <c r="BB105" i="14"/>
  <c r="BB107" i="14"/>
  <c r="BB110" i="14"/>
  <c r="BB104" i="14"/>
  <c r="BB109" i="14"/>
  <c r="BB106" i="14"/>
  <c r="BB102" i="14"/>
  <c r="AV106" i="14"/>
  <c r="BB108" i="14"/>
  <c r="BB111" i="14"/>
  <c r="AV103" i="14"/>
  <c r="BB113" i="14"/>
  <c r="AV112" i="14"/>
  <c r="AV104" i="14"/>
  <c r="AV111" i="14"/>
  <c r="AV113" i="14"/>
  <c r="AV109" i="14"/>
  <c r="AV107" i="14"/>
  <c r="AV110" i="14"/>
  <c r="AS101" i="14"/>
  <c r="AV105" i="14"/>
  <c r="AV102" i="14"/>
  <c r="BY11" i="6"/>
  <c r="BZ9" i="6"/>
  <c r="CK13" i="6"/>
  <c r="BY12" i="6"/>
  <c r="CJ12" i="6"/>
  <c r="CK10" i="6"/>
  <c r="BY10" i="6"/>
  <c r="CJ15" i="6"/>
  <c r="CK8" i="6"/>
  <c r="BY13" i="6"/>
  <c r="CK11" i="6"/>
  <c r="BZ14" i="6"/>
  <c r="BZ8" i="6"/>
  <c r="CK9" i="6"/>
  <c r="J115" i="14"/>
  <c r="CJ14" i="6"/>
  <c r="DG9" i="6"/>
  <c r="DF8" i="6"/>
  <c r="DF12" i="6"/>
  <c r="DG16" i="6"/>
  <c r="DG10" i="6"/>
  <c r="DF11" i="6"/>
  <c r="DG15" i="6"/>
  <c r="DF14" i="6"/>
  <c r="DF18" i="6"/>
  <c r="DD18" i="6"/>
  <c r="DE18" i="6" s="1"/>
  <c r="DD16" i="6"/>
  <c r="DE16" i="6" s="1"/>
  <c r="DD14" i="6"/>
  <c r="DE14" i="6" s="1"/>
  <c r="DD7" i="6"/>
  <c r="DE7" i="6" s="1"/>
  <c r="DD17" i="6"/>
  <c r="DE17" i="6" s="1"/>
  <c r="DD10" i="6"/>
  <c r="DE10" i="6" s="1"/>
  <c r="DD12" i="6"/>
  <c r="DE12" i="6" s="1"/>
  <c r="DG13" i="6"/>
  <c r="DD11" i="6"/>
  <c r="DE11" i="6" s="1"/>
  <c r="DF17" i="6"/>
  <c r="DD13" i="6"/>
  <c r="DE13" i="6" s="1"/>
  <c r="DD15" i="6"/>
  <c r="DE15" i="6" s="1"/>
  <c r="DG17" i="6"/>
  <c r="DD8" i="6"/>
  <c r="DE8" i="6" s="1"/>
  <c r="DD9" i="6"/>
  <c r="DE9" i="6" s="1"/>
  <c r="BZ18" i="6"/>
  <c r="BY18" i="6"/>
  <c r="BU17" i="6" a="1"/>
  <c r="BU17" i="6" s="1"/>
  <c r="BU15" i="6" a="1"/>
  <c r="BU15" i="6" s="1"/>
  <c r="BU16" i="6" a="1"/>
  <c r="BU16" i="6" s="1"/>
  <c r="CF17" i="6" a="1"/>
  <c r="CF17" i="6" s="1"/>
  <c r="CF16" i="6" a="1"/>
  <c r="CF16" i="6" s="1"/>
  <c r="CF18" i="6" a="1"/>
  <c r="CF18" i="6" s="1"/>
  <c r="S121" i="14"/>
  <c r="CQ10" i="6" a="1"/>
  <c r="CQ10" i="6" s="1"/>
  <c r="CQ11" i="6" a="1"/>
  <c r="CQ11" i="6" s="1"/>
  <c r="CQ12" i="6" a="1"/>
  <c r="CQ12" i="6" s="1"/>
  <c r="CQ18" i="6" a="1"/>
  <c r="CQ18" i="6" s="1"/>
  <c r="CQ8" i="6" a="1"/>
  <c r="CQ8" i="6" s="1"/>
  <c r="CQ13" i="6" a="1"/>
  <c r="CQ13" i="6" s="1"/>
  <c r="CQ15" i="6" a="1"/>
  <c r="CQ15" i="6" s="1"/>
  <c r="CQ16" i="6" a="1"/>
  <c r="CQ16" i="6" s="1"/>
  <c r="CQ17" i="6" a="1"/>
  <c r="CQ17" i="6" s="1"/>
  <c r="CQ9" i="6" a="1"/>
  <c r="CQ9" i="6" s="1"/>
  <c r="CQ14" i="6" a="1"/>
  <c r="CQ14" i="6" s="1"/>
  <c r="CQ7" i="6" a="1"/>
  <c r="CQ7" i="6" s="1"/>
  <c r="BC110" i="16"/>
  <c r="BD110" i="16" s="1"/>
  <c r="BC101" i="16"/>
  <c r="BD101" i="16" s="1"/>
  <c r="BC107" i="16"/>
  <c r="BD107" i="16" s="1"/>
  <c r="BC111" i="16"/>
  <c r="BD111" i="16" s="1"/>
  <c r="DH10" i="6"/>
  <c r="DH12" i="6"/>
  <c r="DH6" i="6"/>
  <c r="DH7" i="6"/>
  <c r="DH13" i="6"/>
  <c r="CL6" i="6"/>
  <c r="CA6" i="6"/>
  <c r="DH8" i="6"/>
  <c r="DH11" i="6"/>
  <c r="DH9" i="6"/>
  <c r="DH14" i="6"/>
  <c r="DH15" i="6"/>
  <c r="BC103" i="16" l="1"/>
  <c r="BD103" i="16" s="1"/>
  <c r="BC105" i="16"/>
  <c r="BD105" i="16" s="1"/>
  <c r="BC109" i="16"/>
  <c r="BD109" i="16" s="1"/>
  <c r="L101" i="16" a="1"/>
  <c r="L105" i="16" s="1"/>
  <c r="BC106" i="16"/>
  <c r="BD106" i="16" s="1"/>
  <c r="AI112" i="14"/>
  <c r="AJ112" i="14" s="1"/>
  <c r="J101" i="16" a="1"/>
  <c r="J111" i="16" s="1"/>
  <c r="K101" i="16" a="1"/>
  <c r="K110" i="16" s="1"/>
  <c r="BC102" i="16"/>
  <c r="BD102" i="16" s="1"/>
  <c r="M101" i="16" a="1"/>
  <c r="M106" i="16" s="1"/>
  <c r="BC108" i="16"/>
  <c r="BD108" i="16" s="1"/>
  <c r="CF33" i="6" a="1"/>
  <c r="CF33" i="6" s="1"/>
  <c r="CF37" i="6" a="1"/>
  <c r="CF37" i="6" s="1"/>
  <c r="CF36" i="6" a="1"/>
  <c r="CF36" i="6" s="1"/>
  <c r="CF43" i="6" a="1"/>
  <c r="CF43" i="6" s="1"/>
  <c r="CF42" i="6" a="1"/>
  <c r="CF42" i="6" s="1"/>
  <c r="CF44" i="6" a="1"/>
  <c r="CF44" i="6" s="1"/>
  <c r="CF45" i="6" a="1"/>
  <c r="CF45" i="6" s="1"/>
  <c r="CF35" i="6" a="1"/>
  <c r="CF35" i="6" s="1"/>
  <c r="CF40" i="6" a="1"/>
  <c r="CF40" i="6" s="1"/>
  <c r="CF34" i="6" a="1"/>
  <c r="CF34" i="6" s="1"/>
  <c r="CF39" i="6" a="1"/>
  <c r="CF39" i="6" s="1"/>
  <c r="CF38" i="6" a="1"/>
  <c r="CF38" i="6" s="1"/>
  <c r="CF41" i="6" a="1"/>
  <c r="CF41" i="6" s="1"/>
  <c r="S121" i="16"/>
  <c r="J115" i="16"/>
  <c r="DB33" i="6" a="1"/>
  <c r="DB33" i="6" s="1"/>
  <c r="DB35" i="6" a="1"/>
  <c r="DB35" i="6" s="1"/>
  <c r="DB41" i="6" a="1"/>
  <c r="DB41" i="6" s="1"/>
  <c r="DB45" i="6" a="1"/>
  <c r="DB45" i="6" s="1"/>
  <c r="DB38" i="6" a="1"/>
  <c r="DB38" i="6" s="1"/>
  <c r="DB34" i="6" a="1"/>
  <c r="DB34" i="6" s="1"/>
  <c r="DB36" i="6" a="1"/>
  <c r="DB36" i="6" s="1"/>
  <c r="DB39" i="6" a="1"/>
  <c r="DB39" i="6" s="1"/>
  <c r="DB44" i="6" a="1"/>
  <c r="DB44" i="6" s="1"/>
  <c r="DB40" i="6" a="1"/>
  <c r="DB40" i="6" s="1"/>
  <c r="DB42" i="6" a="1"/>
  <c r="DB42" i="6" s="1"/>
  <c r="DB43" i="6" a="1"/>
  <c r="DB43" i="6" s="1"/>
  <c r="DB37" i="6" a="1"/>
  <c r="DB37" i="6" s="1"/>
  <c r="BU33" i="6" a="1"/>
  <c r="BU33" i="6" s="1"/>
  <c r="BU41" i="6" a="1"/>
  <c r="BU41" i="6" s="1"/>
  <c r="BU38" i="6" a="1"/>
  <c r="BU38" i="6" s="1"/>
  <c r="BU37" i="6" a="1"/>
  <c r="BU37" i="6" s="1"/>
  <c r="BU36" i="6" a="1"/>
  <c r="BU36" i="6" s="1"/>
  <c r="BU43" i="6" a="1"/>
  <c r="BU43" i="6" s="1"/>
  <c r="BU44" i="6" a="1"/>
  <c r="BU44" i="6" s="1"/>
  <c r="BU35" i="6" a="1"/>
  <c r="BU35" i="6" s="1"/>
  <c r="BU34" i="6" a="1"/>
  <c r="BU34" i="6" s="1"/>
  <c r="BU40" i="6" a="1"/>
  <c r="BU40" i="6" s="1"/>
  <c r="BU39" i="6" a="1"/>
  <c r="BU39" i="6" s="1"/>
  <c r="BU42" i="6" a="1"/>
  <c r="BU42" i="6" s="1"/>
  <c r="BU45" i="6" a="1"/>
  <c r="BU45" i="6" s="1"/>
  <c r="CQ33" i="6" a="1"/>
  <c r="CQ33" i="6" s="1"/>
  <c r="CQ36" i="6" a="1"/>
  <c r="CQ36" i="6" s="1"/>
  <c r="CQ40" i="6" a="1"/>
  <c r="CQ40" i="6" s="1"/>
  <c r="CQ34" i="6" a="1"/>
  <c r="CQ34" i="6" s="1"/>
  <c r="CQ39" i="6" a="1"/>
  <c r="CQ39" i="6" s="1"/>
  <c r="CQ37" i="6" a="1"/>
  <c r="CQ37" i="6" s="1"/>
  <c r="CQ43" i="6" a="1"/>
  <c r="CQ43" i="6" s="1"/>
  <c r="CQ44" i="6" a="1"/>
  <c r="CQ44" i="6" s="1"/>
  <c r="CQ35" i="6" a="1"/>
  <c r="CQ35" i="6" s="1"/>
  <c r="CQ42" i="6" a="1"/>
  <c r="CQ42" i="6" s="1"/>
  <c r="CQ45" i="6" a="1"/>
  <c r="CQ45" i="6" s="1"/>
  <c r="CQ41" i="6" a="1"/>
  <c r="CQ41" i="6" s="1"/>
  <c r="CQ38" i="6" a="1"/>
  <c r="CQ38" i="6" s="1"/>
  <c r="C115" i="16"/>
  <c r="AF14" i="6"/>
  <c r="AI106" i="14"/>
  <c r="AJ106" i="14" s="1"/>
  <c r="AI104" i="14"/>
  <c r="AJ104" i="14" s="1"/>
  <c r="AE35" i="6"/>
  <c r="BA8" i="6"/>
  <c r="BA15" i="6"/>
  <c r="AI107" i="14"/>
  <c r="AJ107" i="14" s="1"/>
  <c r="AI110" i="14"/>
  <c r="AJ110" i="14" s="1"/>
  <c r="F101" i="14" a="1"/>
  <c r="F111" i="14" s="1"/>
  <c r="BB11" i="6"/>
  <c r="BB14" i="6"/>
  <c r="BA16" i="6"/>
  <c r="AI113" i="14"/>
  <c r="AJ113" i="14" s="1"/>
  <c r="AC34" i="6"/>
  <c r="AD34" i="6" s="1"/>
  <c r="AI111" i="14"/>
  <c r="AJ111" i="14" s="1"/>
  <c r="T6" i="6"/>
  <c r="BB10" i="6"/>
  <c r="AY7" i="6"/>
  <c r="AZ7" i="6" s="1"/>
  <c r="AY6" i="6"/>
  <c r="AZ6" i="6" s="1"/>
  <c r="AY9" i="6"/>
  <c r="AZ9" i="6" s="1"/>
  <c r="BA13" i="6"/>
  <c r="AN6" i="6"/>
  <c r="AO6" i="6" s="1"/>
  <c r="AC6" i="6"/>
  <c r="AD6" i="6" s="1"/>
  <c r="AC33" i="6"/>
  <c r="AD33" i="6" s="1"/>
  <c r="AN33" i="6"/>
  <c r="AO33" i="6" s="1"/>
  <c r="AN8" i="6"/>
  <c r="AO8" i="6" s="1"/>
  <c r="AY33" i="6"/>
  <c r="AZ33" i="6" s="1"/>
  <c r="AF12" i="6"/>
  <c r="AY17" i="6"/>
  <c r="AZ17" i="6" s="1"/>
  <c r="BB9" i="6"/>
  <c r="AF18" i="6"/>
  <c r="AY12" i="6"/>
  <c r="AZ12" i="6" s="1"/>
  <c r="BA18" i="6"/>
  <c r="AQ16" i="6"/>
  <c r="AY14" i="6"/>
  <c r="AZ14" i="6" s="1"/>
  <c r="AY11" i="6"/>
  <c r="AZ11" i="6" s="1"/>
  <c r="AY13" i="6"/>
  <c r="AZ13" i="6" s="1"/>
  <c r="AF8" i="6"/>
  <c r="W9" i="6"/>
  <c r="AY15" i="6"/>
  <c r="AZ15" i="6" s="1"/>
  <c r="AY18" i="6"/>
  <c r="AZ18" i="6" s="1"/>
  <c r="BB17" i="6"/>
  <c r="AY8" i="6"/>
  <c r="AZ8" i="6" s="1"/>
  <c r="AQ15" i="6"/>
  <c r="AI105" i="14"/>
  <c r="AJ105" i="14" s="1"/>
  <c r="AE15" i="6"/>
  <c r="V17" i="6"/>
  <c r="AF11" i="6"/>
  <c r="AY10" i="6"/>
  <c r="AZ10" i="6" s="1"/>
  <c r="AY16" i="6"/>
  <c r="AZ16" i="6" s="1"/>
  <c r="AC35" i="6"/>
  <c r="AD35" i="6" s="1"/>
  <c r="AF36" i="6"/>
  <c r="AI109" i="14"/>
  <c r="AJ109" i="14" s="1"/>
  <c r="AP43" i="6"/>
  <c r="AF9" i="6"/>
  <c r="AP11" i="6"/>
  <c r="AF37" i="6"/>
  <c r="AI103" i="14"/>
  <c r="AJ103" i="14" s="1"/>
  <c r="AC7" i="6"/>
  <c r="AD7" i="6" s="1"/>
  <c r="V11" i="6"/>
  <c r="AE10" i="6"/>
  <c r="AC8" i="6"/>
  <c r="AD8" i="6" s="1"/>
  <c r="W8" i="6"/>
  <c r="AP8" i="6"/>
  <c r="AC16" i="6"/>
  <c r="AD16" i="6" s="1"/>
  <c r="AQ10" i="6"/>
  <c r="V14" i="6"/>
  <c r="R121" i="14"/>
  <c r="T121" i="14" s="1"/>
  <c r="B119" i="14" s="1"/>
  <c r="D101" i="14" a="1"/>
  <c r="D104" i="14" s="1"/>
  <c r="AN7" i="6"/>
  <c r="AO7" i="6" s="1"/>
  <c r="AQ8" i="6"/>
  <c r="AF42" i="6"/>
  <c r="AF16" i="6"/>
  <c r="AC17" i="6"/>
  <c r="AD17" i="6" s="1"/>
  <c r="AN10" i="6"/>
  <c r="AO10" i="6" s="1"/>
  <c r="AC11" i="6"/>
  <c r="AD11" i="6" s="1"/>
  <c r="AC12" i="6"/>
  <c r="AD12" i="6" s="1"/>
  <c r="V18" i="6"/>
  <c r="AN9" i="6"/>
  <c r="AO9" i="6" s="1"/>
  <c r="AQ18" i="6"/>
  <c r="AC9" i="6"/>
  <c r="AD9" i="6" s="1"/>
  <c r="AC15" i="6"/>
  <c r="AD15" i="6" s="1"/>
  <c r="BA38" i="6"/>
  <c r="AC10" i="6"/>
  <c r="AD10" i="6" s="1"/>
  <c r="AN34" i="6"/>
  <c r="AO34" i="6" s="1"/>
  <c r="AC18" i="6"/>
  <c r="AD18" i="6" s="1"/>
  <c r="AI108" i="14"/>
  <c r="AJ108" i="14" s="1"/>
  <c r="AC13" i="6"/>
  <c r="AD13" i="6" s="1"/>
  <c r="T8" i="6"/>
  <c r="U8" i="6" s="1"/>
  <c r="W13" i="6"/>
  <c r="AC14" i="6"/>
  <c r="AD14" i="6" s="1"/>
  <c r="BB35" i="6"/>
  <c r="AQ17" i="6"/>
  <c r="AE13" i="6"/>
  <c r="AF17" i="6"/>
  <c r="V16" i="6"/>
  <c r="AP12" i="6"/>
  <c r="AC36" i="6"/>
  <c r="AD36" i="6" s="1"/>
  <c r="AQ14" i="6"/>
  <c r="C115" i="14"/>
  <c r="E101" i="14" a="1"/>
  <c r="E109" i="14" s="1"/>
  <c r="T9" i="6"/>
  <c r="U9" i="6" s="1"/>
  <c r="W12" i="6"/>
  <c r="AN16" i="6"/>
  <c r="AO16" i="6" s="1"/>
  <c r="AN13" i="6"/>
  <c r="AO13" i="6" s="1"/>
  <c r="AQ44" i="6"/>
  <c r="AF41" i="6"/>
  <c r="C101" i="14" a="1"/>
  <c r="C107" i="14" s="1"/>
  <c r="T7" i="6"/>
  <c r="U7" i="6" s="1"/>
  <c r="AN14" i="6"/>
  <c r="AO14" i="6" s="1"/>
  <c r="AP36" i="6"/>
  <c r="AQ13" i="6"/>
  <c r="AN18" i="6"/>
  <c r="AO18" i="6" s="1"/>
  <c r="W10" i="6"/>
  <c r="AQ40" i="6"/>
  <c r="AN15" i="6"/>
  <c r="AO15" i="6" s="1"/>
  <c r="AN11" i="6"/>
  <c r="AO11" i="6" s="1"/>
  <c r="AN12" i="6"/>
  <c r="AO12" i="6" s="1"/>
  <c r="AN17" i="6"/>
  <c r="AO17" i="6" s="1"/>
  <c r="V15" i="6"/>
  <c r="T17" i="6"/>
  <c r="U17" i="6" s="1"/>
  <c r="AQ37" i="6"/>
  <c r="T14" i="6"/>
  <c r="U14" i="6" s="1"/>
  <c r="T13" i="6"/>
  <c r="U13" i="6" s="1"/>
  <c r="AP45" i="6"/>
  <c r="T11" i="6"/>
  <c r="U11" i="6" s="1"/>
  <c r="AQ39" i="6"/>
  <c r="T18" i="6"/>
  <c r="U18" i="6" s="1"/>
  <c r="T15" i="6"/>
  <c r="U15" i="6" s="1"/>
  <c r="T16" i="6"/>
  <c r="U16" i="6" s="1"/>
  <c r="E101" i="16" a="1"/>
  <c r="E113" i="16" s="1"/>
  <c r="T10" i="6"/>
  <c r="U10" i="6" s="1"/>
  <c r="T12" i="6"/>
  <c r="U12" i="6" s="1"/>
  <c r="AF38" i="6"/>
  <c r="AN42" i="6"/>
  <c r="AO42" i="6" s="1"/>
  <c r="AN41" i="6"/>
  <c r="AO41" i="6" s="1"/>
  <c r="AN43" i="6"/>
  <c r="AO43" i="6" s="1"/>
  <c r="AP38" i="6"/>
  <c r="AQ42" i="6"/>
  <c r="AN37" i="6"/>
  <c r="AO37" i="6" s="1"/>
  <c r="AN40" i="6"/>
  <c r="AO40" i="6" s="1"/>
  <c r="AN45" i="6"/>
  <c r="AO45" i="6" s="1"/>
  <c r="AN39" i="6"/>
  <c r="AO39" i="6" s="1"/>
  <c r="AN38" i="6"/>
  <c r="AO38" i="6" s="1"/>
  <c r="AN35" i="6"/>
  <c r="AO35" i="6" s="1"/>
  <c r="AN36" i="6"/>
  <c r="AO36" i="6" s="1"/>
  <c r="AE39" i="6"/>
  <c r="AN44" i="6"/>
  <c r="AO44" i="6" s="1"/>
  <c r="AQ41" i="6"/>
  <c r="AQ35" i="6"/>
  <c r="BA36" i="6"/>
  <c r="AE44" i="6"/>
  <c r="AE45" i="6"/>
  <c r="AC43" i="6"/>
  <c r="AD43" i="6" s="1"/>
  <c r="R34" i="6" a="1"/>
  <c r="R34" i="6" s="1"/>
  <c r="V34" i="6" s="1"/>
  <c r="AC40" i="6"/>
  <c r="AD40" i="6" s="1"/>
  <c r="AC42" i="6"/>
  <c r="AD42" i="6" s="1"/>
  <c r="AC39" i="6"/>
  <c r="AD39" i="6" s="1"/>
  <c r="AE43" i="6"/>
  <c r="AC45" i="6"/>
  <c r="AD45" i="6" s="1"/>
  <c r="AC37" i="6"/>
  <c r="AD37" i="6" s="1"/>
  <c r="AE40" i="6"/>
  <c r="AC38" i="6"/>
  <c r="AD38" i="6" s="1"/>
  <c r="AC41" i="6"/>
  <c r="AD41" i="6" s="1"/>
  <c r="AC44" i="6"/>
  <c r="AD44" i="6" s="1"/>
  <c r="AB111" i="16"/>
  <c r="AI111" i="16" s="1"/>
  <c r="AJ111" i="16" s="1"/>
  <c r="AB109" i="16"/>
  <c r="AI109" i="16" s="1"/>
  <c r="AJ109" i="16" s="1"/>
  <c r="AB101" i="16"/>
  <c r="AB104" i="16"/>
  <c r="AI104" i="16" s="1"/>
  <c r="AJ104" i="16" s="1"/>
  <c r="AB113" i="16"/>
  <c r="AI113" i="16" s="1"/>
  <c r="AJ113" i="16" s="1"/>
  <c r="AB107" i="16"/>
  <c r="AI107" i="16" s="1"/>
  <c r="AJ107" i="16" s="1"/>
  <c r="AB112" i="16"/>
  <c r="AI112" i="16" s="1"/>
  <c r="AJ112" i="16" s="1"/>
  <c r="AB108" i="16"/>
  <c r="AI108" i="16" s="1"/>
  <c r="AJ108" i="16" s="1"/>
  <c r="AB106" i="16"/>
  <c r="AI106" i="16" s="1"/>
  <c r="AJ106" i="16" s="1"/>
  <c r="AB102" i="16"/>
  <c r="AI102" i="16" s="1"/>
  <c r="AJ102" i="16" s="1"/>
  <c r="AB110" i="16"/>
  <c r="AI110" i="16" s="1"/>
  <c r="AJ110" i="16" s="1"/>
  <c r="AB105" i="16"/>
  <c r="AI105" i="16" s="1"/>
  <c r="AJ105" i="16" s="1"/>
  <c r="AB103" i="16"/>
  <c r="AI103" i="16" s="1"/>
  <c r="AJ103" i="16" s="1"/>
  <c r="AH101" i="16"/>
  <c r="AH110" i="16"/>
  <c r="AH103" i="16"/>
  <c r="AH108" i="16"/>
  <c r="AH106" i="16"/>
  <c r="AH102" i="16"/>
  <c r="AH107" i="16"/>
  <c r="BA43" i="6"/>
  <c r="BB44" i="6"/>
  <c r="BB42" i="6"/>
  <c r="AY34" i="6"/>
  <c r="AZ34" i="6" s="1"/>
  <c r="BB39" i="6"/>
  <c r="BB40" i="6"/>
  <c r="BA41" i="6"/>
  <c r="AY35" i="6"/>
  <c r="AZ35" i="6" s="1"/>
  <c r="BB37" i="6"/>
  <c r="AY42" i="6"/>
  <c r="AZ42" i="6" s="1"/>
  <c r="AY41" i="6"/>
  <c r="AZ41" i="6" s="1"/>
  <c r="AY40" i="6"/>
  <c r="AZ40" i="6" s="1"/>
  <c r="BB45" i="6"/>
  <c r="AY44" i="6"/>
  <c r="AZ44" i="6" s="1"/>
  <c r="AY39" i="6"/>
  <c r="AZ39" i="6" s="1"/>
  <c r="AY37" i="6"/>
  <c r="AZ37" i="6" s="1"/>
  <c r="AY38" i="6"/>
  <c r="AZ38" i="6" s="1"/>
  <c r="AY43" i="6"/>
  <c r="AZ43" i="6" s="1"/>
  <c r="AY36" i="6"/>
  <c r="AZ36" i="6" s="1"/>
  <c r="AY45" i="6"/>
  <c r="AZ45" i="6" s="1"/>
  <c r="R121" i="16"/>
  <c r="W34" i="6"/>
  <c r="C101" i="16" a="1"/>
  <c r="R33" i="6" a="1"/>
  <c r="R33" i="6" s="1"/>
  <c r="R45" i="6" a="1"/>
  <c r="R45" i="6" s="1"/>
  <c r="R36" i="6" a="1"/>
  <c r="R36" i="6" s="1"/>
  <c r="R40" i="6" a="1"/>
  <c r="R40" i="6" s="1"/>
  <c r="R42" i="6" a="1"/>
  <c r="R42" i="6" s="1"/>
  <c r="R43" i="6" a="1"/>
  <c r="R43" i="6" s="1"/>
  <c r="R37" i="6" a="1"/>
  <c r="R37" i="6" s="1"/>
  <c r="R41" i="6" a="1"/>
  <c r="R41" i="6" s="1"/>
  <c r="R39" i="6" a="1"/>
  <c r="R39" i="6" s="1"/>
  <c r="R35" i="6" a="1"/>
  <c r="R35" i="6" s="1"/>
  <c r="R44" i="6" a="1"/>
  <c r="R44" i="6" s="1"/>
  <c r="R38" i="6" a="1"/>
  <c r="R38" i="6" s="1"/>
  <c r="CS6" i="6"/>
  <c r="CT6" i="6" s="1"/>
  <c r="BC112" i="14"/>
  <c r="BD112" i="14" s="1"/>
  <c r="BC106" i="14"/>
  <c r="BD106" i="14" s="1"/>
  <c r="BC113" i="14"/>
  <c r="BD113" i="14" s="1"/>
  <c r="L101" i="14" a="1"/>
  <c r="L102" i="14" s="1"/>
  <c r="BC110" i="14"/>
  <c r="BD110" i="14" s="1"/>
  <c r="BC108" i="14"/>
  <c r="BD108" i="14" s="1"/>
  <c r="BC111" i="14"/>
  <c r="BD111" i="14" s="1"/>
  <c r="BC107" i="14"/>
  <c r="BD107" i="14" s="1"/>
  <c r="BC103" i="14"/>
  <c r="BD103" i="14" s="1"/>
  <c r="BC109" i="14"/>
  <c r="BD109" i="14" s="1"/>
  <c r="BC104" i="14"/>
  <c r="BD104" i="14" s="1"/>
  <c r="BC102" i="14"/>
  <c r="BD102" i="14" s="1"/>
  <c r="BC105" i="14"/>
  <c r="BD105" i="14" s="1"/>
  <c r="J101" i="14" a="1"/>
  <c r="J107" i="14" s="1"/>
  <c r="BC101" i="14"/>
  <c r="BD101" i="14" s="1"/>
  <c r="M101" i="14" a="1"/>
  <c r="M107" i="14" s="1"/>
  <c r="K101" i="14" a="1"/>
  <c r="K102" i="14" s="1"/>
  <c r="BW8" i="6"/>
  <c r="BX8" i="6" s="1"/>
  <c r="CH7" i="6"/>
  <c r="CH8" i="6"/>
  <c r="CI8" i="6" s="1"/>
  <c r="BW7" i="6"/>
  <c r="BY16" i="6"/>
  <c r="BZ16" i="6"/>
  <c r="CH11" i="6"/>
  <c r="CI11" i="6" s="1"/>
  <c r="CH10" i="6"/>
  <c r="CI10" i="6" s="1"/>
  <c r="CH9" i="6"/>
  <c r="CI9" i="6" s="1"/>
  <c r="CH12" i="6"/>
  <c r="CI12" i="6" s="1"/>
  <c r="BW13" i="6"/>
  <c r="BX13" i="6" s="1"/>
  <c r="BW10" i="6"/>
  <c r="BX10" i="6" s="1"/>
  <c r="BW11" i="6"/>
  <c r="BX11" i="6" s="1"/>
  <c r="BW14" i="6"/>
  <c r="BX14" i="6" s="1"/>
  <c r="BW18" i="6"/>
  <c r="BX18" i="6" s="1"/>
  <c r="BW17" i="6"/>
  <c r="BX17" i="6" s="1"/>
  <c r="BZ15" i="6"/>
  <c r="BW15" i="6"/>
  <c r="BX15" i="6" s="1"/>
  <c r="BY15" i="6"/>
  <c r="BW12" i="6"/>
  <c r="BX12" i="6" s="1"/>
  <c r="BW9" i="6"/>
  <c r="BX9" i="6" s="1"/>
  <c r="BW16" i="6"/>
  <c r="BX16" i="6" s="1"/>
  <c r="BY17" i="6"/>
  <c r="BZ17" i="6"/>
  <c r="CJ18" i="6"/>
  <c r="CK18" i="6"/>
  <c r="CH15" i="6"/>
  <c r="CI15" i="6" s="1"/>
  <c r="CH16" i="6"/>
  <c r="CI16" i="6" s="1"/>
  <c r="CH18" i="6"/>
  <c r="CI18" i="6" s="1"/>
  <c r="CK16" i="6"/>
  <c r="CJ16" i="6"/>
  <c r="CH13" i="6"/>
  <c r="CI13" i="6" s="1"/>
  <c r="CH17" i="6"/>
  <c r="CI17" i="6" s="1"/>
  <c r="CH14" i="6"/>
  <c r="CI14" i="6" s="1"/>
  <c r="CJ17" i="6"/>
  <c r="CK17" i="6"/>
  <c r="CU18" i="6"/>
  <c r="CV18" i="6"/>
  <c r="CU14" i="6"/>
  <c r="CV14" i="6"/>
  <c r="CU12" i="6"/>
  <c r="CV12" i="6"/>
  <c r="CV9" i="6"/>
  <c r="CU9" i="6"/>
  <c r="CU11" i="6"/>
  <c r="CV11" i="6"/>
  <c r="CV17" i="6"/>
  <c r="CU17" i="6"/>
  <c r="CV10" i="6"/>
  <c r="CU10" i="6"/>
  <c r="CV15" i="6"/>
  <c r="CU15" i="6"/>
  <c r="CU16" i="6"/>
  <c r="CV16" i="6"/>
  <c r="CU13" i="6"/>
  <c r="CV13" i="6"/>
  <c r="CU8" i="6"/>
  <c r="CV8" i="6"/>
  <c r="CU7" i="6"/>
  <c r="CS7" i="6"/>
  <c r="CT7" i="6" s="1"/>
  <c r="CS13" i="6"/>
  <c r="CT13" i="6" s="1"/>
  <c r="CS11" i="6"/>
  <c r="CT11" i="6" s="1"/>
  <c r="CS10" i="6"/>
  <c r="CT10" i="6" s="1"/>
  <c r="CS17" i="6"/>
  <c r="CT17" i="6" s="1"/>
  <c r="CS12" i="6"/>
  <c r="CT12" i="6" s="1"/>
  <c r="CS16" i="6"/>
  <c r="CT16" i="6" s="1"/>
  <c r="CS15" i="6"/>
  <c r="CT15" i="6" s="1"/>
  <c r="CS8" i="6"/>
  <c r="CT8" i="6" s="1"/>
  <c r="CS14" i="6"/>
  <c r="CT14" i="6" s="1"/>
  <c r="CS18" i="6"/>
  <c r="CT18" i="6" s="1"/>
  <c r="CV7" i="6"/>
  <c r="CS9" i="6"/>
  <c r="CT9" i="6" s="1"/>
  <c r="CW14" i="6"/>
  <c r="CW15" i="6"/>
  <c r="CA17" i="6"/>
  <c r="CA15" i="6"/>
  <c r="AR6" i="6"/>
  <c r="CW17" i="6"/>
  <c r="AR33" i="6"/>
  <c r="BC40" i="6"/>
  <c r="CW9" i="6"/>
  <c r="CL16" i="6"/>
  <c r="CL18" i="6"/>
  <c r="CW6" i="6"/>
  <c r="CW13" i="6"/>
  <c r="CW10" i="6"/>
  <c r="CA16" i="6"/>
  <c r="BC6" i="6"/>
  <c r="AG39" i="6"/>
  <c r="CW8" i="6"/>
  <c r="AG6" i="6"/>
  <c r="CW7" i="6"/>
  <c r="CW11" i="6"/>
  <c r="AG33" i="6"/>
  <c r="CL17" i="6"/>
  <c r="CW16" i="6"/>
  <c r="CW12" i="6"/>
  <c r="CW18" i="6"/>
  <c r="BC33" i="6"/>
  <c r="AR13" i="6"/>
  <c r="J102" i="16" l="1"/>
  <c r="J105" i="16"/>
  <c r="J108" i="16"/>
  <c r="J101" i="16"/>
  <c r="J103" i="16"/>
  <c r="J104" i="16"/>
  <c r="J106" i="16"/>
  <c r="J112" i="16"/>
  <c r="J107" i="16"/>
  <c r="J113" i="16"/>
  <c r="J110" i="16"/>
  <c r="J109" i="16"/>
  <c r="L112" i="16"/>
  <c r="K109" i="16"/>
  <c r="L101" i="16"/>
  <c r="L103" i="16"/>
  <c r="L106" i="16"/>
  <c r="K101" i="16"/>
  <c r="L104" i="16"/>
  <c r="L113" i="16"/>
  <c r="K108" i="16"/>
  <c r="L111" i="16"/>
  <c r="L109" i="16"/>
  <c r="K106" i="16"/>
  <c r="L107" i="16"/>
  <c r="L110" i="16"/>
  <c r="K102" i="16"/>
  <c r="K107" i="16"/>
  <c r="L108" i="16"/>
  <c r="L102" i="16"/>
  <c r="M110" i="16"/>
  <c r="M103" i="16"/>
  <c r="M112" i="16"/>
  <c r="K105" i="16"/>
  <c r="K104" i="16"/>
  <c r="K103" i="16"/>
  <c r="K113" i="16"/>
  <c r="K112" i="16"/>
  <c r="K111" i="16"/>
  <c r="M104" i="16"/>
  <c r="M111" i="16"/>
  <c r="M102" i="16"/>
  <c r="M105" i="16"/>
  <c r="M113" i="16"/>
  <c r="M107" i="16"/>
  <c r="M109" i="16"/>
  <c r="M101" i="16"/>
  <c r="M108" i="16"/>
  <c r="T121" i="16"/>
  <c r="B119" i="16" s="1"/>
  <c r="CU45" i="6"/>
  <c r="CV45" i="6"/>
  <c r="CU40" i="6"/>
  <c r="CV40" i="6"/>
  <c r="DG38" i="6"/>
  <c r="DF38" i="6"/>
  <c r="BY38" i="6"/>
  <c r="BZ38" i="6"/>
  <c r="DF43" i="6"/>
  <c r="DG43" i="6"/>
  <c r="DG39" i="6"/>
  <c r="DF39" i="6"/>
  <c r="DG45" i="6"/>
  <c r="DF45" i="6"/>
  <c r="CK39" i="6"/>
  <c r="CJ39" i="6"/>
  <c r="CK45" i="6"/>
  <c r="CJ45" i="6"/>
  <c r="CJ36" i="6"/>
  <c r="CK36" i="6"/>
  <c r="CU43" i="6"/>
  <c r="CV43" i="6"/>
  <c r="BZ42" i="6"/>
  <c r="BY42" i="6"/>
  <c r="BY35" i="6"/>
  <c r="BZ35" i="6"/>
  <c r="BY37" i="6"/>
  <c r="BZ37" i="6"/>
  <c r="DG37" i="6"/>
  <c r="DF37" i="6"/>
  <c r="DG44" i="6"/>
  <c r="DF44" i="6"/>
  <c r="DG33" i="6"/>
  <c r="DF33" i="6"/>
  <c r="DD45" i="6"/>
  <c r="DE45" i="6" s="1"/>
  <c r="DD43" i="6"/>
  <c r="DE43" i="6" s="1"/>
  <c r="DD42" i="6"/>
  <c r="DE42" i="6" s="1"/>
  <c r="DD41" i="6"/>
  <c r="DE41" i="6" s="1"/>
  <c r="DD33" i="6"/>
  <c r="DE33" i="6" s="1"/>
  <c r="DD36" i="6"/>
  <c r="DE36" i="6" s="1"/>
  <c r="DD38" i="6"/>
  <c r="DE38" i="6" s="1"/>
  <c r="DD44" i="6"/>
  <c r="DE44" i="6" s="1"/>
  <c r="DD35" i="6"/>
  <c r="DE35" i="6" s="1"/>
  <c r="DD37" i="6"/>
  <c r="DE37" i="6" s="1"/>
  <c r="DD34" i="6"/>
  <c r="DE34" i="6" s="1"/>
  <c r="DD40" i="6"/>
  <c r="DE40" i="6" s="1"/>
  <c r="DD39" i="6"/>
  <c r="DE39" i="6" s="1"/>
  <c r="CK38" i="6"/>
  <c r="CJ38" i="6"/>
  <c r="CK35" i="6"/>
  <c r="CJ35" i="6"/>
  <c r="CK43" i="6"/>
  <c r="CJ43" i="6"/>
  <c r="CV42" i="6"/>
  <c r="CU42" i="6"/>
  <c r="CV37" i="6"/>
  <c r="CU37" i="6"/>
  <c r="CV36" i="6"/>
  <c r="CU36" i="6"/>
  <c r="BZ39" i="6"/>
  <c r="BY39" i="6"/>
  <c r="BY44" i="6"/>
  <c r="BZ44" i="6"/>
  <c r="CU38" i="6"/>
  <c r="CV38" i="6"/>
  <c r="CV35" i="6"/>
  <c r="CU35" i="6"/>
  <c r="CV39" i="6"/>
  <c r="CU39" i="6"/>
  <c r="CU33" i="6"/>
  <c r="CV33" i="6"/>
  <c r="CS45" i="6"/>
  <c r="CT45" i="6" s="1"/>
  <c r="CS33" i="6"/>
  <c r="CT33" i="6" s="1"/>
  <c r="CS35" i="6"/>
  <c r="CT35" i="6" s="1"/>
  <c r="CS41" i="6"/>
  <c r="CT41" i="6" s="1"/>
  <c r="CS43" i="6"/>
  <c r="CT43" i="6" s="1"/>
  <c r="CS38" i="6"/>
  <c r="CT38" i="6" s="1"/>
  <c r="CS36" i="6"/>
  <c r="CT36" i="6" s="1"/>
  <c r="CS37" i="6"/>
  <c r="CT37" i="6" s="1"/>
  <c r="CS39" i="6"/>
  <c r="CT39" i="6" s="1"/>
  <c r="CS34" i="6"/>
  <c r="CT34" i="6" s="1"/>
  <c r="CS44" i="6"/>
  <c r="CT44" i="6" s="1"/>
  <c r="CS42" i="6"/>
  <c r="CT42" i="6" s="1"/>
  <c r="CS40" i="6"/>
  <c r="CT40" i="6" s="1"/>
  <c r="BY40" i="6"/>
  <c r="BZ40" i="6"/>
  <c r="BZ43" i="6"/>
  <c r="BY43" i="6"/>
  <c r="BZ41" i="6"/>
  <c r="BY41" i="6"/>
  <c r="DG42" i="6"/>
  <c r="DF42" i="6"/>
  <c r="DG36" i="6"/>
  <c r="DF36" i="6"/>
  <c r="DF41" i="6"/>
  <c r="DG41" i="6"/>
  <c r="CK34" i="6"/>
  <c r="CJ34" i="6"/>
  <c r="CJ44" i="6"/>
  <c r="CK44" i="6"/>
  <c r="CK37" i="6"/>
  <c r="CJ37" i="6"/>
  <c r="CV41" i="6"/>
  <c r="CU41" i="6"/>
  <c r="CV44" i="6"/>
  <c r="CU44" i="6"/>
  <c r="CV34" i="6"/>
  <c r="CU34" i="6"/>
  <c r="BY45" i="6"/>
  <c r="BZ45" i="6"/>
  <c r="BY34" i="6"/>
  <c r="BZ34" i="6"/>
  <c r="BZ36" i="6"/>
  <c r="BY36" i="6"/>
  <c r="BZ33" i="6"/>
  <c r="BY33" i="6"/>
  <c r="BW34" i="6"/>
  <c r="BX34" i="6" s="1"/>
  <c r="BW37" i="6"/>
  <c r="BX37" i="6" s="1"/>
  <c r="BW36" i="6"/>
  <c r="BX36" i="6" s="1"/>
  <c r="BW33" i="6"/>
  <c r="BX33" i="6" s="1"/>
  <c r="BW35" i="6"/>
  <c r="BX35" i="6" s="1"/>
  <c r="BW38" i="6"/>
  <c r="BX38" i="6" s="1"/>
  <c r="BW39" i="6"/>
  <c r="BX39" i="6" s="1"/>
  <c r="BW44" i="6"/>
  <c r="BX44" i="6" s="1"/>
  <c r="BW45" i="6"/>
  <c r="BX45" i="6" s="1"/>
  <c r="BW42" i="6"/>
  <c r="BX42" i="6" s="1"/>
  <c r="BW41" i="6"/>
  <c r="BX41" i="6" s="1"/>
  <c r="BW40" i="6"/>
  <c r="BX40" i="6" s="1"/>
  <c r="BW43" i="6"/>
  <c r="BX43" i="6" s="1"/>
  <c r="DF40" i="6"/>
  <c r="DG40" i="6"/>
  <c r="DF34" i="6"/>
  <c r="DG34" i="6"/>
  <c r="DG35" i="6"/>
  <c r="DF35" i="6"/>
  <c r="CK41" i="6"/>
  <c r="CJ41" i="6"/>
  <c r="CK40" i="6"/>
  <c r="CJ40" i="6"/>
  <c r="CK42" i="6"/>
  <c r="CJ42" i="6"/>
  <c r="CJ33" i="6"/>
  <c r="CK33" i="6"/>
  <c r="CH45" i="6"/>
  <c r="CI45" i="6" s="1"/>
  <c r="CH35" i="6"/>
  <c r="CI35" i="6" s="1"/>
  <c r="CH41" i="6"/>
  <c r="CI41" i="6" s="1"/>
  <c r="CH44" i="6"/>
  <c r="CI44" i="6" s="1"/>
  <c r="CH42" i="6"/>
  <c r="CI42" i="6" s="1"/>
  <c r="CH40" i="6"/>
  <c r="CI40" i="6" s="1"/>
  <c r="CH33" i="6"/>
  <c r="CI33" i="6" s="1"/>
  <c r="CH39" i="6"/>
  <c r="CI39" i="6" s="1"/>
  <c r="CH43" i="6"/>
  <c r="CI43" i="6" s="1"/>
  <c r="CH34" i="6"/>
  <c r="CI34" i="6" s="1"/>
  <c r="CH36" i="6"/>
  <c r="CI36" i="6" s="1"/>
  <c r="CH37" i="6"/>
  <c r="CI37" i="6" s="1"/>
  <c r="CH38" i="6"/>
  <c r="CI38" i="6" s="1"/>
  <c r="F102" i="14"/>
  <c r="F108" i="14"/>
  <c r="F105" i="14"/>
  <c r="E103" i="14"/>
  <c r="F107" i="14"/>
  <c r="F106" i="14"/>
  <c r="D101" i="14"/>
  <c r="F101" i="14"/>
  <c r="F103" i="14"/>
  <c r="F110" i="14"/>
  <c r="D111" i="14"/>
  <c r="F113" i="14"/>
  <c r="F109" i="14"/>
  <c r="F104" i="14"/>
  <c r="F112" i="14"/>
  <c r="E106" i="16"/>
  <c r="E104" i="14"/>
  <c r="D105" i="14"/>
  <c r="D102" i="14"/>
  <c r="D108" i="14"/>
  <c r="E111" i="14"/>
  <c r="D113" i="14"/>
  <c r="U6" i="6"/>
  <c r="E111" i="16"/>
  <c r="E110" i="16"/>
  <c r="E113" i="14"/>
  <c r="C111" i="14"/>
  <c r="E105" i="14"/>
  <c r="E107" i="14"/>
  <c r="E102" i="14"/>
  <c r="E110" i="14"/>
  <c r="D112" i="14"/>
  <c r="D106" i="14"/>
  <c r="D107" i="14"/>
  <c r="E112" i="14"/>
  <c r="E108" i="14"/>
  <c r="E101" i="14"/>
  <c r="E106" i="14"/>
  <c r="D109" i="14"/>
  <c r="D110" i="14"/>
  <c r="D103" i="14"/>
  <c r="C102" i="14"/>
  <c r="C101" i="14"/>
  <c r="C105" i="14"/>
  <c r="C110" i="14"/>
  <c r="C113" i="14"/>
  <c r="C109" i="14"/>
  <c r="C108" i="14"/>
  <c r="C112" i="14"/>
  <c r="C103" i="14"/>
  <c r="C106" i="14"/>
  <c r="C104" i="14"/>
  <c r="E108" i="16"/>
  <c r="E101" i="16"/>
  <c r="E109" i="16"/>
  <c r="E103" i="16"/>
  <c r="E107" i="16"/>
  <c r="E104" i="16"/>
  <c r="E102" i="16"/>
  <c r="E112" i="16"/>
  <c r="E105" i="16"/>
  <c r="F101" i="16" a="1"/>
  <c r="F102" i="16" s="1"/>
  <c r="AI101" i="16"/>
  <c r="AJ101" i="16" s="1"/>
  <c r="D101" i="16" a="1"/>
  <c r="W42" i="6"/>
  <c r="V42" i="6"/>
  <c r="V38" i="6"/>
  <c r="W38" i="6"/>
  <c r="V40" i="6"/>
  <c r="W40" i="6"/>
  <c r="V44" i="6"/>
  <c r="W44" i="6"/>
  <c r="W36" i="6"/>
  <c r="V36" i="6"/>
  <c r="W35" i="6"/>
  <c r="V35" i="6"/>
  <c r="V45" i="6"/>
  <c r="W45" i="6"/>
  <c r="V39" i="6"/>
  <c r="W39" i="6"/>
  <c r="W33" i="6"/>
  <c r="T45" i="6"/>
  <c r="U45" i="6" s="1"/>
  <c r="V33" i="6"/>
  <c r="T38" i="6"/>
  <c r="U38" i="6" s="1"/>
  <c r="T42" i="6"/>
  <c r="U42" i="6" s="1"/>
  <c r="T33" i="6"/>
  <c r="U33" i="6" s="1"/>
  <c r="T37" i="6"/>
  <c r="U37" i="6" s="1"/>
  <c r="T34" i="6"/>
  <c r="U34" i="6" s="1"/>
  <c r="T40" i="6"/>
  <c r="U40" i="6" s="1"/>
  <c r="T41" i="6"/>
  <c r="U41" i="6" s="1"/>
  <c r="T43" i="6"/>
  <c r="U43" i="6" s="1"/>
  <c r="T44" i="6"/>
  <c r="U44" i="6" s="1"/>
  <c r="T35" i="6"/>
  <c r="U35" i="6" s="1"/>
  <c r="T39" i="6"/>
  <c r="U39" i="6" s="1"/>
  <c r="T36" i="6"/>
  <c r="U36" i="6" s="1"/>
  <c r="V41" i="6"/>
  <c r="W41" i="6"/>
  <c r="C105" i="16"/>
  <c r="C103" i="16"/>
  <c r="C111" i="16"/>
  <c r="C106" i="16"/>
  <c r="C113" i="16"/>
  <c r="C104" i="16"/>
  <c r="C110" i="16"/>
  <c r="C101" i="16"/>
  <c r="C107" i="16"/>
  <c r="C108" i="16"/>
  <c r="C112" i="16"/>
  <c r="C109" i="16"/>
  <c r="C102" i="16"/>
  <c r="V37" i="6"/>
  <c r="W37" i="6"/>
  <c r="V43" i="6"/>
  <c r="W43" i="6"/>
  <c r="BX7" i="6"/>
  <c r="CI7" i="6"/>
  <c r="L107" i="14"/>
  <c r="L101" i="14"/>
  <c r="L104" i="14"/>
  <c r="L105" i="14"/>
  <c r="L111" i="14"/>
  <c r="L103" i="14"/>
  <c r="L113" i="14"/>
  <c r="L108" i="14"/>
  <c r="L112" i="14"/>
  <c r="L110" i="14"/>
  <c r="L106" i="14"/>
  <c r="L109" i="14"/>
  <c r="J102" i="14"/>
  <c r="J105" i="14"/>
  <c r="J104" i="14"/>
  <c r="J109" i="14"/>
  <c r="J106" i="14"/>
  <c r="J108" i="14"/>
  <c r="J113" i="14"/>
  <c r="J101" i="14"/>
  <c r="J112" i="14"/>
  <c r="J103" i="14"/>
  <c r="J111" i="14"/>
  <c r="J110" i="14"/>
  <c r="M110" i="14"/>
  <c r="M105" i="14"/>
  <c r="M109" i="14"/>
  <c r="M106" i="14"/>
  <c r="M112" i="14"/>
  <c r="M111" i="14"/>
  <c r="M103" i="14"/>
  <c r="M104" i="14"/>
  <c r="M101" i="14"/>
  <c r="M113" i="14"/>
  <c r="M102" i="14"/>
  <c r="M108" i="14"/>
  <c r="K113" i="14"/>
  <c r="K101" i="14"/>
  <c r="K104" i="14"/>
  <c r="K103" i="14"/>
  <c r="K109" i="14"/>
  <c r="K110" i="14"/>
  <c r="K108" i="14"/>
  <c r="K105" i="14"/>
  <c r="K107" i="14"/>
  <c r="K106" i="14"/>
  <c r="K111" i="14"/>
  <c r="K112" i="14"/>
  <c r="AX101" i="14" a="1"/>
  <c r="CW45" i="6"/>
  <c r="CW43" i="6"/>
  <c r="CA35" i="6"/>
  <c r="CL38" i="6"/>
  <c r="CL43" i="6"/>
  <c r="CW37" i="6"/>
  <c r="CA39" i="6"/>
  <c r="CW39" i="6"/>
  <c r="CA40" i="6"/>
  <c r="CA45" i="6"/>
  <c r="CL41" i="6"/>
  <c r="CL42" i="6"/>
  <c r="CL45" i="6"/>
  <c r="DH33" i="6"/>
  <c r="CA44" i="6"/>
  <c r="CW33" i="6"/>
  <c r="CA41" i="6"/>
  <c r="CL34" i="6"/>
  <c r="CW44" i="6"/>
  <c r="CA36" i="6"/>
  <c r="CL33" i="6"/>
  <c r="CW40" i="6"/>
  <c r="CA38" i="6"/>
  <c r="CL36" i="6"/>
  <c r="CA37" i="6"/>
  <c r="CL35" i="6"/>
  <c r="CW42" i="6"/>
  <c r="CL44" i="6"/>
  <c r="CL40" i="6"/>
  <c r="CL39" i="6"/>
  <c r="CW38" i="6"/>
  <c r="CA43" i="6"/>
  <c r="CW41" i="6"/>
  <c r="CA33" i="6"/>
  <c r="DH34" i="6"/>
  <c r="AR37" i="6"/>
  <c r="AR41" i="6"/>
  <c r="AG37" i="6"/>
  <c r="AG43" i="6"/>
  <c r="AR36" i="6"/>
  <c r="AR38" i="6"/>
  <c r="AG42" i="6"/>
  <c r="AR39" i="6"/>
  <c r="AR43" i="6"/>
  <c r="AG35" i="6"/>
  <c r="AG34" i="6"/>
  <c r="CL7" i="6"/>
  <c r="AR42" i="6"/>
  <c r="AG40" i="6"/>
  <c r="AG45" i="6"/>
  <c r="AR40" i="6"/>
  <c r="AG41" i="6"/>
  <c r="P33" i="6"/>
  <c r="AG44" i="6"/>
  <c r="AR34" i="6"/>
  <c r="AR44" i="6"/>
  <c r="AR35" i="6"/>
  <c r="CA7" i="6"/>
  <c r="P6" i="6"/>
  <c r="AG38" i="6"/>
  <c r="AG36" i="6"/>
  <c r="F101" i="16" l="1"/>
  <c r="F110" i="16"/>
  <c r="F103" i="16"/>
  <c r="F112" i="16"/>
  <c r="F109" i="16"/>
  <c r="F111" i="16"/>
  <c r="F113" i="16"/>
  <c r="F107" i="16"/>
  <c r="F105" i="16"/>
  <c r="F106" i="16"/>
  <c r="F108" i="16"/>
  <c r="F104" i="16"/>
  <c r="D103" i="16"/>
  <c r="D109" i="16"/>
  <c r="D102" i="16"/>
  <c r="D111" i="16"/>
  <c r="D110" i="16"/>
  <c r="D112" i="16"/>
  <c r="D113" i="16"/>
  <c r="D107" i="16"/>
  <c r="D105" i="16"/>
  <c r="D108" i="16"/>
  <c r="D106" i="16"/>
  <c r="D104" i="16"/>
  <c r="D101" i="16"/>
  <c r="AX105" i="14"/>
  <c r="AX109" i="14"/>
  <c r="AX106" i="14"/>
  <c r="AX102" i="14"/>
  <c r="AX113" i="14"/>
  <c r="AX101" i="14"/>
  <c r="AX103" i="14"/>
  <c r="AX110" i="14"/>
  <c r="AX111" i="14"/>
  <c r="AX107" i="14"/>
  <c r="AX108" i="14"/>
  <c r="AX104" i="14"/>
  <c r="AX112" i="14"/>
  <c r="AA101" i="16" a="1"/>
  <c r="AA101" i="16" s="1"/>
  <c r="AA109" i="16" l="1"/>
  <c r="AA111" i="16"/>
  <c r="AA102" i="16"/>
  <c r="AA112" i="16"/>
  <c r="AA108" i="16"/>
  <c r="AA103" i="16"/>
  <c r="AA104" i="16"/>
  <c r="AA110" i="16"/>
  <c r="AA107" i="16"/>
  <c r="AA113" i="16"/>
  <c r="AA105" i="16"/>
  <c r="AA106" i="16"/>
  <c r="P35" i="6"/>
  <c r="AG16" i="6"/>
  <c r="BC7" i="6"/>
  <c r="P44" i="6"/>
  <c r="AG10" i="6"/>
  <c r="BC16" i="6"/>
  <c r="AR8" i="6"/>
  <c r="AG14" i="6"/>
  <c r="P36" i="6"/>
  <c r="P8" i="6"/>
  <c r="P43" i="6"/>
  <c r="AG13" i="6"/>
  <c r="P10" i="6"/>
  <c r="DH16" i="6"/>
  <c r="AR12" i="6"/>
  <c r="AG8" i="6"/>
  <c r="AR11" i="6"/>
  <c r="BC14" i="6"/>
  <c r="BC13" i="6"/>
  <c r="P34" i="6"/>
  <c r="P41" i="6"/>
  <c r="AR16" i="6"/>
  <c r="AG9" i="6"/>
  <c r="P42" i="6"/>
  <c r="BC17" i="6"/>
  <c r="AR18" i="6"/>
  <c r="AG11" i="6"/>
  <c r="DH17" i="6"/>
  <c r="P7" i="6"/>
  <c r="BC9" i="6"/>
  <c r="DH18" i="6"/>
  <c r="AG17" i="6"/>
  <c r="BC8" i="6"/>
  <c r="P39" i="6"/>
  <c r="BC18" i="6"/>
  <c r="BC10" i="6"/>
  <c r="P38" i="6"/>
  <c r="AR10" i="6"/>
  <c r="P37" i="6"/>
  <c r="P11" i="6"/>
  <c r="P9" i="6"/>
  <c r="AR15" i="6"/>
  <c r="P45" i="6"/>
  <c r="AG18" i="6"/>
  <c r="P12" i="6"/>
  <c r="BC15" i="6"/>
  <c r="AR7" i="6"/>
  <c r="AG12" i="6"/>
  <c r="P13" i="6"/>
  <c r="AG7" i="6"/>
  <c r="P40" i="6"/>
  <c r="X101" i="16" l="1" a="1"/>
  <c r="X109" i="16" l="1"/>
  <c r="X101" i="16"/>
  <c r="X113" i="16"/>
  <c r="X104" i="16"/>
  <c r="X102" i="16"/>
  <c r="X107" i="16"/>
  <c r="X105" i="16"/>
  <c r="X110" i="16"/>
  <c r="X106" i="16"/>
  <c r="X111" i="16"/>
  <c r="X112" i="16"/>
  <c r="X103" i="16"/>
  <c r="X108" i="16"/>
  <c r="CW35" i="6"/>
  <c r="BC43" i="6"/>
  <c r="BC34" i="6"/>
  <c r="BC37" i="6"/>
  <c r="BC41" i="6"/>
  <c r="BC36" i="6"/>
  <c r="BC42" i="6"/>
  <c r="CW36" i="6"/>
  <c r="CW34" i="6"/>
  <c r="BC38" i="6"/>
  <c r="BC39" i="6"/>
  <c r="BC45" i="6"/>
  <c r="BC44" i="6"/>
  <c r="BC35" i="6"/>
  <c r="AX101" i="16" l="1" a="1"/>
  <c r="AX102" i="16" s="1"/>
  <c r="CA34" i="6"/>
  <c r="CA42" i="6"/>
  <c r="AX106" i="16" l="1"/>
  <c r="AX111" i="16"/>
  <c r="AX109" i="16"/>
  <c r="AX103" i="16"/>
  <c r="AX104" i="16"/>
  <c r="AX108" i="16"/>
  <c r="AX107" i="16"/>
  <c r="AX113" i="16"/>
  <c r="AX110" i="16"/>
  <c r="AX105" i="16"/>
  <c r="AX112" i="16"/>
  <c r="AX101" i="16"/>
  <c r="AR101" i="16" a="1"/>
  <c r="AR105" i="16" s="1"/>
  <c r="AR113" i="16" l="1"/>
  <c r="AR107" i="16"/>
  <c r="AR112" i="16"/>
  <c r="AR101" i="16"/>
  <c r="AR111" i="16"/>
  <c r="AR103" i="16"/>
  <c r="AR106" i="16"/>
  <c r="AR104" i="16"/>
  <c r="AR109" i="16"/>
  <c r="AR110" i="16"/>
  <c r="AR102" i="16"/>
  <c r="AR108" i="16"/>
  <c r="CL37" i="6"/>
  <c r="AU101" i="16" l="1" a="1"/>
  <c r="AU103" i="16" s="1"/>
  <c r="DH38" i="6"/>
  <c r="AU107" i="16" l="1"/>
  <c r="AU104" i="16"/>
  <c r="AU106" i="16"/>
  <c r="AU109" i="16"/>
  <c r="AU110" i="16"/>
  <c r="AU113" i="16"/>
  <c r="AU111" i="16"/>
  <c r="AU105" i="16"/>
  <c r="AU112" i="16"/>
  <c r="AU101" i="16"/>
  <c r="AU108" i="16"/>
  <c r="AU102" i="16"/>
  <c r="CL11" i="6"/>
  <c r="CL13" i="6"/>
  <c r="CA11" i="6"/>
  <c r="CA18" i="6"/>
  <c r="CA8" i="6"/>
  <c r="CA9" i="6"/>
  <c r="CL15" i="6"/>
  <c r="CL9" i="6"/>
  <c r="CA14" i="6"/>
  <c r="CA12" i="6"/>
  <c r="CL14" i="6"/>
  <c r="CL10" i="6"/>
  <c r="CA13" i="6"/>
  <c r="CL8" i="6"/>
  <c r="CA10" i="6"/>
  <c r="CL12" i="6"/>
  <c r="AU101" i="14" l="1" a="1"/>
  <c r="AU106" i="14" s="1"/>
  <c r="AR101" i="14" a="1"/>
  <c r="AR104" i="14" s="1"/>
  <c r="AR112" i="14" l="1"/>
  <c r="AU113" i="14"/>
  <c r="AR106" i="14"/>
  <c r="AR113" i="14"/>
  <c r="AR109" i="14"/>
  <c r="AU111" i="14"/>
  <c r="AU101" i="14"/>
  <c r="AU103" i="14"/>
  <c r="AR111" i="14"/>
  <c r="AR105" i="14"/>
  <c r="AU102" i="14"/>
  <c r="AR110" i="14"/>
  <c r="AU107" i="14"/>
  <c r="AU105" i="14"/>
  <c r="AR102" i="14"/>
  <c r="AR107" i="14"/>
  <c r="AR108" i="14"/>
  <c r="AU108" i="14"/>
  <c r="AR103" i="14"/>
  <c r="AU109" i="14"/>
  <c r="AU110" i="14"/>
  <c r="AR101" i="14"/>
  <c r="AU112" i="14"/>
  <c r="AU104" i="14"/>
  <c r="B61" i="6"/>
  <c r="C75" i="6" a="1"/>
  <c r="C75" i="6" s="1"/>
  <c r="D73" i="6"/>
  <c r="D75" i="6" s="1" a="1"/>
  <c r="D75" i="6" s="1"/>
  <c r="H61" i="6" l="1"/>
  <c r="K60" i="6" s="1" a="1"/>
  <c r="G61" i="6"/>
  <c r="AK80" i="6"/>
  <c r="Z80" i="6"/>
  <c r="AV80" i="6"/>
  <c r="K72" i="6" l="1"/>
  <c r="K64" i="6"/>
  <c r="K62" i="6"/>
  <c r="K60" i="6"/>
  <c r="K66" i="6"/>
  <c r="K70" i="6"/>
  <c r="K69" i="6"/>
  <c r="K68" i="6"/>
  <c r="K63" i="6"/>
  <c r="K71" i="6"/>
  <c r="K67" i="6"/>
  <c r="K65" i="6"/>
  <c r="K61" i="6"/>
  <c r="L69" i="6" l="1"/>
  <c r="L68" i="6"/>
  <c r="L70" i="6"/>
  <c r="L61" i="6"/>
  <c r="L66" i="6"/>
  <c r="L65" i="6"/>
  <c r="L60" i="6"/>
  <c r="L67" i="6"/>
  <c r="L62" i="6"/>
  <c r="L71" i="6"/>
  <c r="L64" i="6"/>
  <c r="L63" i="6"/>
  <c r="L72" i="6"/>
  <c r="AV60" i="6" l="1" a="1"/>
  <c r="AV60" i="6" s="1"/>
  <c r="AK60" i="6" a="1"/>
  <c r="AV69" i="6" l="1"/>
  <c r="AX69" i="6" s="1"/>
  <c r="AV65" i="6"/>
  <c r="AX65" i="6" s="1"/>
  <c r="AV62" i="6"/>
  <c r="AX62" i="6" s="1"/>
  <c r="AV61" i="6"/>
  <c r="AX61" i="6" s="1"/>
  <c r="AW61" i="6" s="1" a="1"/>
  <c r="AW61" i="6" s="1"/>
  <c r="BB61" i="6" s="1"/>
  <c r="AV71" i="6"/>
  <c r="AX71" i="6" s="1"/>
  <c r="AV64" i="6"/>
  <c r="AX64" i="6" s="1"/>
  <c r="AV68" i="6"/>
  <c r="AX68" i="6" s="1"/>
  <c r="AV72" i="6"/>
  <c r="AX72" i="6" s="1"/>
  <c r="AV67" i="6"/>
  <c r="AX67" i="6" s="1"/>
  <c r="AV66" i="6"/>
  <c r="AX66" i="6" s="1"/>
  <c r="AV70" i="6"/>
  <c r="AX70" i="6" s="1"/>
  <c r="AV63" i="6"/>
  <c r="AX63" i="6" s="1"/>
  <c r="AK64" i="6"/>
  <c r="AM64" i="6" s="1"/>
  <c r="AK70" i="6"/>
  <c r="AM70" i="6" s="1"/>
  <c r="AK65" i="6"/>
  <c r="AM65" i="6" s="1"/>
  <c r="AK69" i="6"/>
  <c r="AM69" i="6" s="1"/>
  <c r="AK72" i="6"/>
  <c r="AM72" i="6" s="1"/>
  <c r="AK62" i="6"/>
  <c r="AM62" i="6" s="1"/>
  <c r="AK71" i="6"/>
  <c r="AM71" i="6" s="1"/>
  <c r="AK60" i="6"/>
  <c r="AK61" i="6"/>
  <c r="AM61" i="6" s="1"/>
  <c r="AK63" i="6"/>
  <c r="AM63" i="6" s="1"/>
  <c r="AK67" i="6"/>
  <c r="AM67" i="6" s="1"/>
  <c r="AK66" i="6"/>
  <c r="AM66" i="6" s="1"/>
  <c r="AK68" i="6"/>
  <c r="AM68" i="6" s="1"/>
  <c r="AW71" i="6" l="1" a="1"/>
  <c r="AW71" i="6" s="1"/>
  <c r="BA71" i="6" s="1"/>
  <c r="AW69" i="6" a="1"/>
  <c r="AW69" i="6" s="1"/>
  <c r="BA69" i="6" s="1"/>
  <c r="AW67" i="6" a="1"/>
  <c r="AW67" i="6" s="1"/>
  <c r="BB67" i="6" s="1"/>
  <c r="AW72" i="6" a="1"/>
  <c r="AW72" i="6" s="1"/>
  <c r="BA72" i="6" s="1"/>
  <c r="AV75" i="6"/>
  <c r="AW70" i="6" a="1"/>
  <c r="AW70" i="6" s="1"/>
  <c r="BB70" i="6" s="1"/>
  <c r="AW66" i="6" a="1"/>
  <c r="AW66" i="6" s="1"/>
  <c r="BA66" i="6" s="1"/>
  <c r="AW68" i="6" a="1"/>
  <c r="AW68" i="6" s="1"/>
  <c r="BB68" i="6" s="1"/>
  <c r="AW64" i="6" a="1"/>
  <c r="AW64" i="6" s="1"/>
  <c r="BB64" i="6" s="1"/>
  <c r="AV74" i="6"/>
  <c r="AW63" i="6" a="1"/>
  <c r="AW63" i="6" s="1"/>
  <c r="BA63" i="6" s="1"/>
  <c r="AW65" i="6" a="1"/>
  <c r="AW65" i="6" s="1"/>
  <c r="BB65" i="6" s="1"/>
  <c r="AW62" i="6" a="1"/>
  <c r="AW62" i="6" s="1"/>
  <c r="BB62" i="6" s="1"/>
  <c r="BA61" i="6"/>
  <c r="AK74" i="6"/>
  <c r="AK75" i="6"/>
  <c r="AL67" i="6" a="1"/>
  <c r="AL67" i="6" s="1"/>
  <c r="AL71" i="6" a="1"/>
  <c r="AL71" i="6" s="1"/>
  <c r="AL69" i="6" a="1"/>
  <c r="AL69" i="6" s="1"/>
  <c r="AL62" i="6" a="1"/>
  <c r="AL62" i="6" s="1"/>
  <c r="AL70" i="6" a="1"/>
  <c r="AL70" i="6" s="1"/>
  <c r="AL61" i="6" a="1"/>
  <c r="AL61" i="6" s="1"/>
  <c r="AL63" i="6" a="1"/>
  <c r="AL63" i="6" s="1"/>
  <c r="AL66" i="6" a="1"/>
  <c r="AL66" i="6" s="1"/>
  <c r="AL68" i="6" a="1"/>
  <c r="AL68" i="6" s="1"/>
  <c r="AL65" i="6" a="1"/>
  <c r="AL65" i="6" s="1"/>
  <c r="AL72" i="6" a="1"/>
  <c r="AL72" i="6" s="1"/>
  <c r="AL64" i="6" a="1"/>
  <c r="AL64" i="6" s="1"/>
  <c r="BB72" i="6" l="1"/>
  <c r="BB71" i="6"/>
  <c r="BB69" i="6"/>
  <c r="BA68" i="6"/>
  <c r="BA67" i="6"/>
  <c r="BA70" i="6"/>
  <c r="BB66" i="6"/>
  <c r="BA65" i="6"/>
  <c r="BA64" i="6"/>
  <c r="BA62" i="6"/>
  <c r="BB63" i="6"/>
  <c r="AQ70" i="6"/>
  <c r="AP70" i="6"/>
  <c r="AQ62" i="6"/>
  <c r="AP62" i="6"/>
  <c r="AQ61" i="6"/>
  <c r="AP61" i="6"/>
  <c r="AQ69" i="6"/>
  <c r="AP69" i="6"/>
  <c r="AQ65" i="6"/>
  <c r="AP65" i="6"/>
  <c r="AQ71" i="6"/>
  <c r="AP71" i="6"/>
  <c r="AQ72" i="6"/>
  <c r="AP72" i="6"/>
  <c r="AQ67" i="6"/>
  <c r="AP67" i="6"/>
  <c r="AQ64" i="6"/>
  <c r="AP64" i="6"/>
  <c r="AQ66" i="6"/>
  <c r="AP66" i="6"/>
  <c r="AQ68" i="6"/>
  <c r="AP68" i="6"/>
  <c r="AQ63" i="6"/>
  <c r="AP63" i="6"/>
  <c r="Z60" i="6" a="1"/>
  <c r="Z67" i="6" l="1"/>
  <c r="AB67" i="6" s="1"/>
  <c r="Z65" i="6"/>
  <c r="AB65" i="6" s="1"/>
  <c r="Z61" i="6"/>
  <c r="AB61" i="6" s="1"/>
  <c r="Z68" i="6"/>
  <c r="AB68" i="6" s="1"/>
  <c r="Z72" i="6"/>
  <c r="AB72" i="6" s="1"/>
  <c r="Z62" i="6"/>
  <c r="AB62" i="6" s="1"/>
  <c r="Z66" i="6"/>
  <c r="AB66" i="6" s="1"/>
  <c r="Z64" i="6"/>
  <c r="AB64" i="6" s="1"/>
  <c r="Z71" i="6"/>
  <c r="AB71" i="6" s="1"/>
  <c r="Z60" i="6"/>
  <c r="Z70" i="6"/>
  <c r="AB70" i="6" s="1"/>
  <c r="Z69" i="6"/>
  <c r="AB69" i="6" s="1"/>
  <c r="Z63" i="6"/>
  <c r="AB63" i="6" s="1"/>
  <c r="AA65" i="6" l="1" a="1"/>
  <c r="AA65" i="6" s="1"/>
  <c r="AA69" i="6" a="1"/>
  <c r="AA69" i="6" s="1"/>
  <c r="AA61" i="6" a="1"/>
  <c r="AA61" i="6" s="1"/>
  <c r="AA68" i="6" a="1"/>
  <c r="AA68" i="6" s="1"/>
  <c r="AA67" i="6" a="1"/>
  <c r="AA67" i="6" s="1"/>
  <c r="AA66" i="6" a="1"/>
  <c r="AA66" i="6" s="1"/>
  <c r="AA62" i="6" a="1"/>
  <c r="AA62" i="6" s="1"/>
  <c r="AA71" i="6" a="1"/>
  <c r="AA71" i="6" s="1"/>
  <c r="AA63" i="6" a="1"/>
  <c r="AA63" i="6" s="1"/>
  <c r="AA72" i="6" a="1"/>
  <c r="AA72" i="6" s="1"/>
  <c r="AA70" i="6" a="1"/>
  <c r="AA70" i="6" s="1"/>
  <c r="AA64" i="6" a="1"/>
  <c r="AA64" i="6" s="1"/>
  <c r="Z75" i="6"/>
  <c r="Z74" i="6"/>
  <c r="AF62" i="6" l="1"/>
  <c r="AE62" i="6"/>
  <c r="AF66" i="6"/>
  <c r="AE66" i="6"/>
  <c r="AF67" i="6"/>
  <c r="AE67" i="6"/>
  <c r="AF64" i="6"/>
  <c r="AE64" i="6"/>
  <c r="AF68" i="6"/>
  <c r="AE68" i="6"/>
  <c r="AF70" i="6"/>
  <c r="AE70" i="6"/>
  <c r="AF61" i="6"/>
  <c r="AE61" i="6"/>
  <c r="AF72" i="6"/>
  <c r="AE72" i="6"/>
  <c r="AF69" i="6"/>
  <c r="AE69" i="6"/>
  <c r="AF71" i="6"/>
  <c r="AE71" i="6"/>
  <c r="AF63" i="6"/>
  <c r="AE63" i="6"/>
  <c r="AF65" i="6"/>
  <c r="AE65" i="6"/>
  <c r="AW60" i="6" l="1" a="1"/>
  <c r="AW60" i="6" s="1"/>
  <c r="AY65" i="6" l="1"/>
  <c r="AZ65" i="6" s="1"/>
  <c r="AY67" i="6"/>
  <c r="AZ67" i="6" s="1"/>
  <c r="AY63" i="6"/>
  <c r="AZ63" i="6" s="1"/>
  <c r="AY61" i="6"/>
  <c r="AZ61" i="6" s="1"/>
  <c r="AY72" i="6"/>
  <c r="AZ72" i="6" s="1"/>
  <c r="BB60" i="6"/>
  <c r="AY66" i="6"/>
  <c r="AZ66" i="6" s="1"/>
  <c r="AY70" i="6"/>
  <c r="AZ70" i="6" s="1"/>
  <c r="AY64" i="6"/>
  <c r="AZ64" i="6" s="1"/>
  <c r="AY71" i="6"/>
  <c r="AZ71" i="6" s="1"/>
  <c r="AY69" i="6"/>
  <c r="AZ69" i="6" s="1"/>
  <c r="AY62" i="6"/>
  <c r="AZ62" i="6" s="1"/>
  <c r="AY60" i="6"/>
  <c r="AZ60" i="6" s="1"/>
  <c r="AY68" i="6"/>
  <c r="AZ68" i="6" s="1"/>
  <c r="BA60" i="6"/>
  <c r="AL60" i="6" a="1"/>
  <c r="AL60" i="6" s="1"/>
  <c r="AP60" i="6" s="1"/>
  <c r="BC60" i="6"/>
  <c r="BD60" i="6"/>
  <c r="AQ60" i="6" l="1"/>
  <c r="AN63" i="6"/>
  <c r="AO63" i="6" s="1"/>
  <c r="AN61" i="6"/>
  <c r="AO61" i="6" s="1"/>
  <c r="AN62" i="6"/>
  <c r="AO62" i="6" s="1"/>
  <c r="AN65" i="6"/>
  <c r="AO65" i="6" s="1"/>
  <c r="AN66" i="6"/>
  <c r="AO66" i="6" s="1"/>
  <c r="AN70" i="6"/>
  <c r="AO70" i="6" s="1"/>
  <c r="AN68" i="6"/>
  <c r="AO68" i="6" s="1"/>
  <c r="AN60" i="6"/>
  <c r="AO60" i="6" s="1"/>
  <c r="AN64" i="6"/>
  <c r="AO64" i="6" s="1"/>
  <c r="AN69" i="6"/>
  <c r="AO69" i="6" s="1"/>
  <c r="AN71" i="6"/>
  <c r="AO71" i="6" s="1"/>
  <c r="AN72" i="6"/>
  <c r="AO72" i="6" s="1"/>
  <c r="AN67" i="6"/>
  <c r="AO67" i="6" s="1"/>
  <c r="AA60" i="6" a="1"/>
  <c r="AA60" i="6" s="1"/>
  <c r="AE60" i="6" s="1"/>
  <c r="AR60" i="6"/>
  <c r="AF60" i="6" l="1"/>
  <c r="AC68" i="6"/>
  <c r="AD68" i="6" s="1"/>
  <c r="AC65" i="6"/>
  <c r="AD65" i="6" s="1"/>
  <c r="AC67" i="6"/>
  <c r="AD67" i="6" s="1"/>
  <c r="AC66" i="6"/>
  <c r="AD66" i="6" s="1"/>
  <c r="AC62" i="6"/>
  <c r="AD62" i="6" s="1"/>
  <c r="AC71" i="6"/>
  <c r="AD71" i="6" s="1"/>
  <c r="AC63" i="6"/>
  <c r="AD63" i="6" s="1"/>
  <c r="AC72" i="6"/>
  <c r="AD72" i="6" s="1"/>
  <c r="AC61" i="6"/>
  <c r="AD61" i="6" s="1"/>
  <c r="AC60" i="6"/>
  <c r="AD60" i="6" s="1"/>
  <c r="AC64" i="6"/>
  <c r="AD64" i="6" s="1"/>
  <c r="AC70" i="6"/>
  <c r="AD70" i="6" s="1"/>
  <c r="AC69" i="6"/>
  <c r="AD69" i="6" s="1"/>
  <c r="L79" i="6"/>
  <c r="P74" i="6"/>
  <c r="P77" i="6" s="1"/>
  <c r="N60" i="6" a="1"/>
  <c r="N69" i="6" s="1"/>
  <c r="M69" i="6" s="1"/>
  <c r="AG60" i="6"/>
  <c r="AR61" i="6"/>
  <c r="AG61" i="6"/>
  <c r="AR63" i="6"/>
  <c r="AG63" i="6"/>
  <c r="AG65" i="6"/>
  <c r="BC65" i="6"/>
  <c r="AR65" i="6"/>
  <c r="AR62" i="6"/>
  <c r="AG62" i="6"/>
  <c r="AH68" i="6"/>
  <c r="AS68" i="6"/>
  <c r="BC61" i="6"/>
  <c r="AS61" i="6"/>
  <c r="AS72" i="6"/>
  <c r="AR64" i="6"/>
  <c r="AH63" i="6"/>
  <c r="BC67" i="6"/>
  <c r="AS66" i="6"/>
  <c r="AR71" i="6"/>
  <c r="BD63" i="6"/>
  <c r="BD66" i="6"/>
  <c r="AG66" i="6"/>
  <c r="AH71" i="6"/>
  <c r="BC68" i="6"/>
  <c r="AH65" i="6"/>
  <c r="BD68" i="6"/>
  <c r="AH60" i="6"/>
  <c r="AG68" i="6"/>
  <c r="AH61" i="6"/>
  <c r="AS60" i="6"/>
  <c r="BD71" i="6"/>
  <c r="BD65" i="6"/>
  <c r="BC63" i="6"/>
  <c r="AS65" i="6"/>
  <c r="AH70" i="6"/>
  <c r="AH72" i="6"/>
  <c r="BC71" i="6"/>
  <c r="BC70" i="6"/>
  <c r="AS64" i="6"/>
  <c r="BD72" i="6"/>
  <c r="BD70" i="6"/>
  <c r="AH67" i="6"/>
  <c r="AG71" i="6"/>
  <c r="AS69" i="6"/>
  <c r="AS62" i="6"/>
  <c r="AG72" i="6"/>
  <c r="BD62" i="6"/>
  <c r="AR66" i="6"/>
  <c r="AR67" i="6"/>
  <c r="AG69" i="6"/>
  <c r="AS71" i="6"/>
  <c r="AG67" i="6"/>
  <c r="AH66" i="6"/>
  <c r="AH62" i="6"/>
  <c r="BC62" i="6"/>
  <c r="AH64" i="6"/>
  <c r="AR70" i="6"/>
  <c r="AR69" i="6"/>
  <c r="BD67" i="6"/>
  <c r="BC69" i="6"/>
  <c r="BD64" i="6"/>
  <c r="AS70" i="6"/>
  <c r="AR68" i="6"/>
  <c r="BC66" i="6"/>
  <c r="BC72" i="6"/>
  <c r="BC64" i="6"/>
  <c r="AS63" i="6"/>
  <c r="AG70" i="6"/>
  <c r="AH69" i="6"/>
  <c r="BD61" i="6"/>
  <c r="BD69" i="6"/>
  <c r="AG64" i="6"/>
  <c r="AS67" i="6"/>
  <c r="AR72" i="6"/>
  <c r="N79" i="6" l="1"/>
  <c r="N71" i="6"/>
  <c r="M71" i="6" s="1"/>
  <c r="N61" i="6"/>
  <c r="M61" i="6" s="1"/>
  <c r="N62" i="6"/>
  <c r="M62" i="6" s="1"/>
  <c r="N60" i="6"/>
  <c r="M60" i="6" s="1"/>
  <c r="N67" i="6"/>
  <c r="M67" i="6" s="1"/>
  <c r="N63" i="6"/>
  <c r="M63" i="6" s="1"/>
  <c r="N70" i="6"/>
  <c r="M70" i="6" s="1"/>
  <c r="N66" i="6"/>
  <c r="M66" i="6" s="1"/>
  <c r="N64" i="6"/>
  <c r="M64" i="6" s="1"/>
  <c r="N68" i="6"/>
  <c r="M68" i="6" s="1"/>
  <c r="N65" i="6"/>
  <c r="M65" i="6" s="1"/>
  <c r="N72" i="6"/>
  <c r="M72" i="6" s="1"/>
  <c r="L80" i="6" l="1"/>
  <c r="O60" i="6" a="1"/>
  <c r="O70" i="6" s="1"/>
  <c r="S70" i="6" s="1"/>
  <c r="N80" i="6" l="1"/>
  <c r="L78" i="6" s="1"/>
  <c r="O69" i="6"/>
  <c r="S69" i="6" s="1"/>
  <c r="O71" i="6"/>
  <c r="S71" i="6" s="1"/>
  <c r="O68" i="6"/>
  <c r="S68" i="6" s="1"/>
  <c r="O67" i="6"/>
  <c r="S67" i="6" s="1"/>
  <c r="O61" i="6"/>
  <c r="S61" i="6" s="1"/>
  <c r="O72" i="6"/>
  <c r="S72" i="6" s="1"/>
  <c r="O64" i="6"/>
  <c r="S64" i="6" s="1"/>
  <c r="O63" i="6"/>
  <c r="S63" i="6" s="1"/>
  <c r="O62" i="6"/>
  <c r="S62" i="6" s="1"/>
  <c r="O60" i="6"/>
  <c r="O65" i="6"/>
  <c r="S65" i="6" s="1"/>
  <c r="O66" i="6"/>
  <c r="S66" i="6" s="1"/>
  <c r="P75" i="6" l="1"/>
  <c r="S60" i="6"/>
  <c r="P60" i="6" s="1"/>
  <c r="P76" i="6"/>
  <c r="R62" i="6" l="1" a="1"/>
  <c r="R62" i="6" s="1"/>
  <c r="R72" i="6" a="1"/>
  <c r="R72" i="6" s="1"/>
  <c r="W72" i="6" s="1"/>
  <c r="R61" i="6" a="1"/>
  <c r="R61" i="6" s="1"/>
  <c r="R64" i="6" a="1"/>
  <c r="R64" i="6" s="1"/>
  <c r="R71" i="6" a="1"/>
  <c r="R71" i="6" s="1"/>
  <c r="R65" i="6" a="1"/>
  <c r="R65" i="6" s="1"/>
  <c r="R63" i="6" a="1"/>
  <c r="R63" i="6" s="1"/>
  <c r="R70" i="6" a="1"/>
  <c r="R70" i="6" s="1"/>
  <c r="R60" i="6" a="1"/>
  <c r="R60" i="6" s="1"/>
  <c r="R69" i="6" a="1"/>
  <c r="R69" i="6" s="1"/>
  <c r="R67" i="6" a="1"/>
  <c r="R67" i="6" s="1"/>
  <c r="R68" i="6" a="1"/>
  <c r="R68" i="6" s="1"/>
  <c r="R66" i="6" a="1"/>
  <c r="R66" i="6" s="1"/>
  <c r="W70" i="6" l="1"/>
  <c r="V64" i="6"/>
  <c r="W67" i="6"/>
  <c r="V63" i="6"/>
  <c r="V61" i="6"/>
  <c r="W68" i="6"/>
  <c r="V69" i="6"/>
  <c r="W65" i="6"/>
  <c r="W66" i="6"/>
  <c r="W60" i="6"/>
  <c r="V71" i="6"/>
  <c r="V62" i="6"/>
  <c r="W61" i="6"/>
  <c r="W64" i="6"/>
  <c r="W62" i="6"/>
  <c r="W71" i="6"/>
  <c r="V67" i="6"/>
  <c r="V60" i="6"/>
  <c r="T60" i="6"/>
  <c r="V66" i="6"/>
  <c r="V72" i="6"/>
  <c r="V68" i="6"/>
  <c r="W63" i="6"/>
  <c r="T62" i="6"/>
  <c r="W69" i="6"/>
  <c r="V65" i="6"/>
  <c r="T72" i="6"/>
  <c r="T61" i="6"/>
  <c r="T70" i="6"/>
  <c r="T66" i="6"/>
  <c r="T64" i="6"/>
  <c r="T69" i="6"/>
  <c r="T67" i="6"/>
  <c r="V70" i="6"/>
  <c r="T65" i="6"/>
  <c r="T68" i="6"/>
  <c r="T63" i="6"/>
  <c r="T71" i="6"/>
  <c r="U68" i="6" l="1"/>
  <c r="U65" i="6"/>
  <c r="U64" i="6"/>
  <c r="U72" i="6"/>
  <c r="U66" i="6"/>
  <c r="U69" i="6"/>
  <c r="U62" i="6"/>
  <c r="U71" i="6"/>
  <c r="U63" i="6"/>
  <c r="U67" i="6"/>
  <c r="U70" i="6"/>
  <c r="U60" i="6"/>
  <c r="U61" i="6"/>
  <c r="DH35" i="6"/>
  <c r="DH44" i="6"/>
  <c r="Q62" i="6"/>
  <c r="Q64" i="6"/>
  <c r="DH43" i="6"/>
  <c r="DH41" i="6"/>
  <c r="Q71" i="6"/>
  <c r="Q69" i="6"/>
  <c r="Q68" i="6"/>
  <c r="Q67" i="6"/>
  <c r="DH45" i="6"/>
  <c r="Q70" i="6"/>
  <c r="DH36" i="6"/>
  <c r="DH40" i="6"/>
  <c r="Q61" i="6"/>
  <c r="Q63" i="6"/>
  <c r="DH42" i="6"/>
  <c r="Q66" i="6"/>
  <c r="Q65" i="6"/>
  <c r="DH39" i="6"/>
  <c r="DH37" i="6"/>
  <c r="Q72" i="6"/>
  <c r="T90" i="6" l="1"/>
  <c r="T86" i="6"/>
  <c r="T89" i="6"/>
  <c r="T88" i="6"/>
  <c r="T91" i="6"/>
  <c r="T87" i="6"/>
  <c r="S87" i="6" s="1" a="1"/>
  <c r="S87" i="6" s="1"/>
  <c r="S86" i="6" l="1" a="1"/>
  <c r="S86" i="6" s="1"/>
  <c r="W86" i="6" s="1"/>
  <c r="P86" i="6"/>
  <c r="T96" i="6"/>
  <c r="S89" i="6" a="1"/>
  <c r="S89" i="6" s="1"/>
  <c r="X89" i="6" s="1"/>
  <c r="S90" i="6" a="1"/>
  <c r="S90" i="6" s="1"/>
  <c r="W90" i="6" s="1"/>
  <c r="T95" i="6"/>
  <c r="T93" i="6"/>
  <c r="T94" i="6"/>
  <c r="S91" i="6" a="1"/>
  <c r="S91" i="6" s="1"/>
  <c r="X91" i="6" s="1"/>
  <c r="S88" i="6" a="1"/>
  <c r="S88" i="6" s="1"/>
  <c r="T92" i="6"/>
  <c r="T97" i="6"/>
  <c r="T98" i="6"/>
  <c r="X87" i="6"/>
  <c r="W87" i="6"/>
  <c r="X86" i="6" l="1"/>
  <c r="U86" i="6"/>
  <c r="V86" i="6" s="1"/>
  <c r="W89" i="6"/>
  <c r="X90" i="6"/>
  <c r="S94" i="6" a="1"/>
  <c r="S94" i="6" s="1"/>
  <c r="W94" i="6" s="1"/>
  <c r="W91" i="6"/>
  <c r="S96" i="6" a="1"/>
  <c r="S96" i="6" s="1"/>
  <c r="S95" i="6" a="1"/>
  <c r="S95" i="6" s="1"/>
  <c r="X88" i="6"/>
  <c r="W88" i="6"/>
  <c r="S97" i="6" a="1"/>
  <c r="S97" i="6" s="1"/>
  <c r="S93" i="6" a="1"/>
  <c r="S93" i="6" s="1"/>
  <c r="S92" i="6" a="1"/>
  <c r="S92" i="6" s="1"/>
  <c r="S98" i="6" a="1"/>
  <c r="S98" i="6" s="1"/>
  <c r="X94" i="6" l="1"/>
  <c r="W96" i="6"/>
  <c r="X96" i="6"/>
  <c r="X92" i="6"/>
  <c r="U92" i="6"/>
  <c r="V92" i="6" s="1"/>
  <c r="U95" i="6"/>
  <c r="V95" i="6" s="1"/>
  <c r="U89" i="6"/>
  <c r="V89" i="6" s="1"/>
  <c r="U87" i="6"/>
  <c r="U93" i="6"/>
  <c r="V93" i="6" s="1"/>
  <c r="U96" i="6"/>
  <c r="V96" i="6" s="1"/>
  <c r="W92" i="6"/>
  <c r="U94" i="6"/>
  <c r="V94" i="6" s="1"/>
  <c r="U88" i="6"/>
  <c r="V88" i="6" s="1"/>
  <c r="U97" i="6"/>
  <c r="V97" i="6" s="1"/>
  <c r="W98" i="6"/>
  <c r="X98" i="6"/>
  <c r="U98" i="6"/>
  <c r="V98" i="6" s="1"/>
  <c r="W93" i="6"/>
  <c r="X93" i="6"/>
  <c r="U91" i="6"/>
  <c r="V91" i="6" s="1"/>
  <c r="X97" i="6"/>
  <c r="W97" i="6"/>
  <c r="U90" i="6"/>
  <c r="V90" i="6" s="1"/>
  <c r="X95" i="6"/>
  <c r="W95" i="6"/>
  <c r="Q98" i="6"/>
  <c r="Q94" i="6"/>
  <c r="Q95" i="6"/>
  <c r="Q97" i="6"/>
  <c r="Q96" i="6"/>
  <c r="Q93" i="6"/>
  <c r="Q92" i="6"/>
  <c r="P97" i="6"/>
  <c r="P93" i="6"/>
  <c r="P96" i="6"/>
  <c r="P98" i="6"/>
  <c r="P92" i="6"/>
  <c r="P95" i="6"/>
  <c r="R92" i="6" l="1"/>
  <c r="R93" i="6"/>
  <c r="R96" i="6"/>
  <c r="R97" i="6"/>
  <c r="R95" i="6"/>
  <c r="R94" i="6"/>
  <c r="R98" i="6"/>
  <c r="C131" i="6" a="1"/>
  <c r="V87" i="6"/>
  <c r="P89" i="6"/>
  <c r="Q91" i="6"/>
  <c r="P88" i="6"/>
  <c r="Q87" i="6"/>
  <c r="R91" i="6" l="1"/>
  <c r="R87" i="6"/>
  <c r="C131" i="6"/>
  <c r="C159" i="6" s="1"/>
  <c r="G131" i="6"/>
  <c r="G159" i="6" s="1"/>
  <c r="H131" i="6"/>
  <c r="H159" i="6" s="1"/>
  <c r="D131" i="6"/>
  <c r="D159" i="6" s="1"/>
  <c r="E131" i="6"/>
  <c r="E159" i="6" s="1"/>
  <c r="F131" i="6"/>
  <c r="F159" i="6" s="1"/>
  <c r="Q90" i="6"/>
  <c r="Q88" i="6"/>
  <c r="Q89" i="6"/>
  <c r="R88" i="6" l="1"/>
  <c r="R90" i="6"/>
  <c r="R89" i="6"/>
  <c r="C118" i="6" a="1"/>
  <c r="O113" i="6" l="1" a="1"/>
  <c r="O116" i="6" s="1"/>
  <c r="F118" i="6"/>
  <c r="F146" i="6" s="1"/>
  <c r="C118" i="6"/>
  <c r="C146" i="6" s="1"/>
  <c r="G118" i="6"/>
  <c r="G146" i="6" s="1"/>
  <c r="D118" i="6"/>
  <c r="D146" i="6" s="1"/>
  <c r="H118" i="6"/>
  <c r="H146" i="6" s="1"/>
  <c r="E118" i="6"/>
  <c r="E146" i="6" s="1"/>
  <c r="O123" i="6" l="1"/>
  <c r="T123" i="6" s="1"/>
  <c r="O118" i="6"/>
  <c r="T118" i="6" s="1"/>
  <c r="O113" i="6"/>
  <c r="T113" i="6" s="1"/>
  <c r="O115" i="6"/>
  <c r="T115" i="6" s="1"/>
  <c r="O121" i="6"/>
  <c r="T121" i="6" s="1"/>
  <c r="O120" i="6"/>
  <c r="T120" i="6" s="1"/>
  <c r="O119" i="6"/>
  <c r="T119" i="6" s="1"/>
  <c r="O114" i="6"/>
  <c r="T114" i="6" s="1"/>
  <c r="O124" i="6"/>
  <c r="O122" i="6"/>
  <c r="T122" i="6" s="1"/>
  <c r="O117" i="6"/>
  <c r="T117" i="6" s="1"/>
  <c r="T112" i="6"/>
  <c r="P112" i="6" s="1"/>
  <c r="T116" i="6"/>
  <c r="Q119" i="6" l="1"/>
  <c r="S113" i="6" a="1"/>
  <c r="S113" i="6" s="1"/>
  <c r="W113" i="6" s="1"/>
  <c r="S112" i="6" a="1"/>
  <c r="S112" i="6" s="1"/>
  <c r="U112" i="6" s="1"/>
  <c r="V112" i="6" s="1"/>
  <c r="S114" i="6" a="1"/>
  <c r="S114" i="6" s="1"/>
  <c r="W114" i="6" s="1"/>
  <c r="S115" i="6" a="1"/>
  <c r="S115" i="6" s="1"/>
  <c r="X115" i="6" s="1"/>
  <c r="Q114" i="6"/>
  <c r="R114" i="6" s="1"/>
  <c r="Q120" i="6"/>
  <c r="S116" i="6" a="1"/>
  <c r="S116" i="6" s="1"/>
  <c r="X116" i="6" s="1"/>
  <c r="Q122" i="6"/>
  <c r="R122" i="6" s="1"/>
  <c r="S117" i="6" a="1"/>
  <c r="S117" i="6" s="1"/>
  <c r="W117" i="6" s="1"/>
  <c r="Q118" i="6"/>
  <c r="R118" i="6" s="1"/>
  <c r="S121" i="6" a="1"/>
  <c r="S121" i="6" s="1"/>
  <c r="X121" i="6" s="1"/>
  <c r="Q123" i="6"/>
  <c r="R123" i="6" s="1"/>
  <c r="S123" i="6" a="1"/>
  <c r="S123" i="6" s="1"/>
  <c r="W123" i="6" s="1"/>
  <c r="T124" i="6"/>
  <c r="S124" i="6" s="1" a="1"/>
  <c r="S124" i="6" s="1"/>
  <c r="Q124" i="6"/>
  <c r="R124" i="6" s="1"/>
  <c r="S119" i="6" a="1"/>
  <c r="S119" i="6" s="1"/>
  <c r="X119" i="6" s="1"/>
  <c r="S122" i="6" a="1"/>
  <c r="S122" i="6" s="1"/>
  <c r="W122" i="6" s="1"/>
  <c r="S118" i="6" a="1"/>
  <c r="S118" i="6" s="1"/>
  <c r="W118" i="6" s="1"/>
  <c r="S120" i="6" a="1"/>
  <c r="S120" i="6" s="1"/>
  <c r="X120" i="6" s="1"/>
  <c r="Q116" i="6"/>
  <c r="R116" i="6" s="1"/>
  <c r="Q121" i="6"/>
  <c r="R121" i="6" s="1"/>
  <c r="Q117" i="6"/>
  <c r="R117" i="6" s="1"/>
  <c r="W115" i="6" l="1"/>
  <c r="R120" i="6"/>
  <c r="R119" i="6"/>
  <c r="C132" i="6" a="1"/>
  <c r="X113" i="6"/>
  <c r="U113" i="6"/>
  <c r="V113" i="6" s="1"/>
  <c r="X112" i="6"/>
  <c r="W112" i="6"/>
  <c r="W116" i="6"/>
  <c r="X114" i="6"/>
  <c r="W121" i="6"/>
  <c r="W119" i="6"/>
  <c r="X117" i="6"/>
  <c r="X123" i="6"/>
  <c r="U115" i="6"/>
  <c r="V115" i="6" s="1"/>
  <c r="U114" i="6"/>
  <c r="W120" i="6"/>
  <c r="X124" i="6"/>
  <c r="W124" i="6"/>
  <c r="X122" i="6"/>
  <c r="U120" i="6"/>
  <c r="V120" i="6" s="1"/>
  <c r="U118" i="6"/>
  <c r="V118" i="6" s="1"/>
  <c r="X118" i="6"/>
  <c r="U121" i="6"/>
  <c r="V121" i="6" s="1"/>
  <c r="U123" i="6"/>
  <c r="V123" i="6" s="1"/>
  <c r="U116" i="6"/>
  <c r="V116" i="6" s="1"/>
  <c r="P113" i="6"/>
  <c r="P121" i="6"/>
  <c r="P122" i="6"/>
  <c r="P120" i="6"/>
  <c r="P124" i="6"/>
  <c r="P119" i="6"/>
  <c r="C132" i="6" l="1"/>
  <c r="C160" i="6" s="1"/>
  <c r="G132" i="6"/>
  <c r="G160" i="6" s="1"/>
  <c r="F132" i="6"/>
  <c r="F160" i="6" s="1"/>
  <c r="D132" i="6"/>
  <c r="D160" i="6" s="1"/>
  <c r="H132" i="6"/>
  <c r="H160" i="6" s="1"/>
  <c r="E132" i="6"/>
  <c r="E160" i="6" s="1"/>
  <c r="V114" i="6"/>
  <c r="U122" i="6"/>
  <c r="V122" i="6" s="1"/>
  <c r="U119" i="6"/>
  <c r="V119" i="6" s="1"/>
  <c r="U117" i="6"/>
  <c r="V117" i="6" s="1"/>
  <c r="U124" i="6"/>
  <c r="V124" i="6" s="1"/>
  <c r="P117" i="6"/>
  <c r="P115" i="6"/>
  <c r="Q113" i="6"/>
  <c r="Q115" i="6"/>
  <c r="P114" i="6"/>
  <c r="P116" i="6"/>
  <c r="R115" i="6" l="1"/>
  <c r="R113" i="6"/>
  <c r="C119" i="6" a="1"/>
  <c r="O139" i="6" l="1" a="1"/>
  <c r="O142" i="6" s="1"/>
  <c r="Q142" i="6" s="1"/>
  <c r="R142" i="6" s="1"/>
  <c r="F119" i="6"/>
  <c r="F147" i="6" s="1"/>
  <c r="C119" i="6"/>
  <c r="C147" i="6" s="1"/>
  <c r="G119" i="6"/>
  <c r="G147" i="6" s="1"/>
  <c r="D119" i="6"/>
  <c r="D147" i="6" s="1"/>
  <c r="H119" i="6"/>
  <c r="H147" i="6" s="1"/>
  <c r="E119" i="6"/>
  <c r="E147" i="6" s="1"/>
  <c r="T138" i="6"/>
  <c r="P138" i="6" s="1"/>
  <c r="O148" i="6" l="1"/>
  <c r="T148" i="6" s="1"/>
  <c r="O141" i="6"/>
  <c r="T141" i="6" s="1"/>
  <c r="O146" i="6"/>
  <c r="Q146" i="6" s="1"/>
  <c r="R146" i="6" s="1"/>
  <c r="O143" i="6"/>
  <c r="Q143" i="6" s="1"/>
  <c r="R143" i="6" s="1"/>
  <c r="O149" i="6"/>
  <c r="Q149" i="6" s="1"/>
  <c r="R149" i="6" s="1"/>
  <c r="O139" i="6"/>
  <c r="T139" i="6" s="1"/>
  <c r="O145" i="6"/>
  <c r="Q145" i="6" s="1"/>
  <c r="R145" i="6" s="1"/>
  <c r="O150" i="6"/>
  <c r="Q150" i="6" s="1"/>
  <c r="R150" i="6" s="1"/>
  <c r="O140" i="6"/>
  <c r="Q140" i="6" s="1"/>
  <c r="R140" i="6" s="1"/>
  <c r="O144" i="6"/>
  <c r="Q144" i="6" s="1"/>
  <c r="R144" i="6" s="1"/>
  <c r="O147" i="6"/>
  <c r="Q147" i="6" s="1"/>
  <c r="R147" i="6" s="1"/>
  <c r="T142" i="6"/>
  <c r="S138" i="6" a="1"/>
  <c r="S138" i="6" s="1"/>
  <c r="X138" i="6" s="1"/>
  <c r="Q148" i="6" l="1"/>
  <c r="R148" i="6" s="1"/>
  <c r="T149" i="6"/>
  <c r="T144" i="6"/>
  <c r="T140" i="6"/>
  <c r="S141" i="6" s="1" a="1"/>
  <c r="S141" i="6" s="1"/>
  <c r="T145" i="6"/>
  <c r="T146" i="6"/>
  <c r="T150" i="6"/>
  <c r="T143" i="6"/>
  <c r="T147" i="6"/>
  <c r="U138" i="6"/>
  <c r="V138" i="6" s="1"/>
  <c r="W138" i="6"/>
  <c r="P139" i="6"/>
  <c r="S139" i="6" a="1"/>
  <c r="S139" i="6" s="1"/>
  <c r="C133" i="6" l="1" a="1"/>
  <c r="C133" i="6" s="1"/>
  <c r="C161" i="6" s="1"/>
  <c r="S143" i="6" a="1"/>
  <c r="S143" i="6" s="1"/>
  <c r="W143" i="6" s="1"/>
  <c r="S140" i="6" a="1"/>
  <c r="S140" i="6" s="1"/>
  <c r="X140" i="6" s="1"/>
  <c r="S142" i="6" a="1"/>
  <c r="S142" i="6" s="1"/>
  <c r="X142" i="6" s="1"/>
  <c r="S146" i="6" a="1"/>
  <c r="S146" i="6" s="1"/>
  <c r="X146" i="6" s="1"/>
  <c r="S147" i="6" a="1"/>
  <c r="S147" i="6" s="1"/>
  <c r="W147" i="6" s="1"/>
  <c r="S150" i="6" a="1"/>
  <c r="S150" i="6" s="1"/>
  <c r="W150" i="6" s="1"/>
  <c r="S149" i="6" a="1"/>
  <c r="S149" i="6" s="1"/>
  <c r="W149" i="6" s="1"/>
  <c r="S145" i="6" a="1"/>
  <c r="S145" i="6" s="1"/>
  <c r="X145" i="6" s="1"/>
  <c r="S148" i="6" a="1"/>
  <c r="S148" i="6" s="1"/>
  <c r="X148" i="6" s="1"/>
  <c r="S144" i="6" a="1"/>
  <c r="S144" i="6" s="1"/>
  <c r="X144" i="6" s="1"/>
  <c r="X141" i="6"/>
  <c r="W141" i="6"/>
  <c r="U139" i="6"/>
  <c r="W139" i="6"/>
  <c r="X139" i="6"/>
  <c r="X143" i="6" l="1"/>
  <c r="F133" i="6"/>
  <c r="F161" i="6" s="1"/>
  <c r="H133" i="6"/>
  <c r="H161" i="6" s="1"/>
  <c r="G133" i="6"/>
  <c r="G161" i="6" s="1"/>
  <c r="D133" i="6"/>
  <c r="D161" i="6" s="1"/>
  <c r="E133" i="6"/>
  <c r="E161" i="6" s="1"/>
  <c r="W140" i="6"/>
  <c r="U140" i="6"/>
  <c r="V140" i="6" s="1"/>
  <c r="U141" i="6"/>
  <c r="V141" i="6" s="1"/>
  <c r="W142" i="6"/>
  <c r="X147" i="6"/>
  <c r="W146" i="6"/>
  <c r="X150" i="6"/>
  <c r="X149" i="6"/>
  <c r="W145" i="6"/>
  <c r="U150" i="6"/>
  <c r="V150" i="6" s="1"/>
  <c r="W144" i="6"/>
  <c r="U145" i="6"/>
  <c r="V145" i="6" s="1"/>
  <c r="U148" i="6"/>
  <c r="V148" i="6" s="1"/>
  <c r="U146" i="6"/>
  <c r="V146" i="6" s="1"/>
  <c r="U143" i="6"/>
  <c r="V143" i="6" s="1"/>
  <c r="U147" i="6"/>
  <c r="V147" i="6" s="1"/>
  <c r="U144" i="6"/>
  <c r="V144" i="6" s="1"/>
  <c r="U149" i="6"/>
  <c r="V149" i="6" s="1"/>
  <c r="U142" i="6"/>
  <c r="V142" i="6" s="1"/>
  <c r="W148" i="6"/>
  <c r="V139" i="6"/>
  <c r="Q139" i="6"/>
  <c r="Q141" i="6"/>
  <c r="P142" i="6"/>
  <c r="R141" i="6" l="1"/>
  <c r="R139" i="6"/>
  <c r="C120" i="6" a="1"/>
  <c r="P141" i="6"/>
  <c r="P140" i="6"/>
  <c r="O165" i="6" l="1" a="1"/>
  <c r="O168" i="6" s="1"/>
  <c r="F120" i="6"/>
  <c r="F148" i="6" s="1"/>
  <c r="C120" i="6"/>
  <c r="C148" i="6" s="1"/>
  <c r="G120" i="6"/>
  <c r="G148" i="6" s="1"/>
  <c r="D120" i="6"/>
  <c r="D148" i="6" s="1"/>
  <c r="H120" i="6"/>
  <c r="H148" i="6" s="1"/>
  <c r="E120" i="6"/>
  <c r="E148" i="6" s="1"/>
  <c r="T164" i="6"/>
  <c r="P164" i="6" s="1"/>
  <c r="O171" i="6" l="1"/>
  <c r="T171" i="6" s="1"/>
  <c r="O166" i="6"/>
  <c r="T166" i="6" s="1"/>
  <c r="O169" i="6"/>
  <c r="Q169" i="6" s="1"/>
  <c r="R169" i="6" s="1"/>
  <c r="O175" i="6"/>
  <c r="Q175" i="6" s="1"/>
  <c r="R175" i="6" s="1"/>
  <c r="O174" i="6"/>
  <c r="Q174" i="6" s="1"/>
  <c r="R174" i="6" s="1"/>
  <c r="O167" i="6"/>
  <c r="T167" i="6" s="1"/>
  <c r="O172" i="6"/>
  <c r="Q172" i="6" s="1"/>
  <c r="O165" i="6"/>
  <c r="T165" i="6" s="1"/>
  <c r="P165" i="6" s="1"/>
  <c r="O176" i="6"/>
  <c r="T176" i="6" s="1"/>
  <c r="O170" i="6"/>
  <c r="Q170" i="6" s="1"/>
  <c r="R170" i="6" s="1"/>
  <c r="O173" i="6"/>
  <c r="T173" i="6" s="1"/>
  <c r="Q168" i="6"/>
  <c r="R168" i="6" s="1"/>
  <c r="S164" i="6" a="1"/>
  <c r="S164" i="6" s="1"/>
  <c r="T168" i="6"/>
  <c r="T170" i="6" l="1"/>
  <c r="Q166" i="6"/>
  <c r="R166" i="6" s="1"/>
  <c r="T169" i="6"/>
  <c r="T174" i="6"/>
  <c r="Q173" i="6"/>
  <c r="R173" i="6" s="1"/>
  <c r="Q176" i="6"/>
  <c r="R176" i="6" s="1"/>
  <c r="T172" i="6"/>
  <c r="T175" i="6"/>
  <c r="Q171" i="6"/>
  <c r="R171" i="6" s="1"/>
  <c r="R172" i="6"/>
  <c r="S165" i="6" a="1"/>
  <c r="S165" i="6" s="1"/>
  <c r="X165" i="6" s="1"/>
  <c r="S168" i="6" a="1"/>
  <c r="S168" i="6" s="1"/>
  <c r="W168" i="6" s="1"/>
  <c r="X164" i="6"/>
  <c r="U164" i="6"/>
  <c r="V164" i="6" s="1"/>
  <c r="W164" i="6"/>
  <c r="T190" i="6"/>
  <c r="S167" i="6" a="1"/>
  <c r="S167" i="6" s="1"/>
  <c r="S166" i="6" a="1"/>
  <c r="S166" i="6" s="1"/>
  <c r="S173" i="6" l="1" a="1"/>
  <c r="S173" i="6" s="1"/>
  <c r="X173" i="6" s="1"/>
  <c r="S171" i="6" a="1"/>
  <c r="S171" i="6" s="1"/>
  <c r="X171" i="6" s="1"/>
  <c r="S170" i="6" a="1"/>
  <c r="S170" i="6" s="1"/>
  <c r="X170" i="6" s="1"/>
  <c r="S169" i="6" a="1"/>
  <c r="S169" i="6" s="1"/>
  <c r="W169" i="6" s="1"/>
  <c r="S172" i="6" a="1"/>
  <c r="S172" i="6" s="1"/>
  <c r="X172" i="6" s="1"/>
  <c r="S176" i="6" a="1"/>
  <c r="S176" i="6" s="1"/>
  <c r="W176" i="6" s="1"/>
  <c r="S175" i="6" a="1"/>
  <c r="S175" i="6" s="1"/>
  <c r="W175" i="6" s="1"/>
  <c r="S174" i="6" a="1"/>
  <c r="S174" i="6" s="1"/>
  <c r="W174" i="6" s="1"/>
  <c r="C134" i="6" a="1"/>
  <c r="F134" i="6" s="1"/>
  <c r="F162" i="6" s="1"/>
  <c r="U165" i="6"/>
  <c r="V165" i="6" s="1"/>
  <c r="S190" i="6" a="1"/>
  <c r="S190" i="6" s="1"/>
  <c r="X190" i="6" s="1"/>
  <c r="P190" i="6"/>
  <c r="W165" i="6"/>
  <c r="X168" i="6"/>
  <c r="U166" i="6"/>
  <c r="W167" i="6"/>
  <c r="X167" i="6"/>
  <c r="X166" i="6"/>
  <c r="W166" i="6"/>
  <c r="P61" i="6"/>
  <c r="P65" i="6"/>
  <c r="P87" i="6"/>
  <c r="P91" i="6"/>
  <c r="P66" i="6"/>
  <c r="P68" i="6"/>
  <c r="P72" i="6"/>
  <c r="P69" i="6"/>
  <c r="P118" i="6"/>
  <c r="P123" i="6"/>
  <c r="P71" i="6"/>
  <c r="P70" i="6"/>
  <c r="P67" i="6"/>
  <c r="P62" i="6"/>
  <c r="P94" i="6"/>
  <c r="W171" i="6" l="1"/>
  <c r="W173" i="6"/>
  <c r="X169" i="6"/>
  <c r="W170" i="6"/>
  <c r="U167" i="6"/>
  <c r="V167" i="6" s="1"/>
  <c r="U168" i="6"/>
  <c r="V168" i="6" s="1"/>
  <c r="W172" i="6"/>
  <c r="X176" i="6"/>
  <c r="X175" i="6"/>
  <c r="U170" i="6"/>
  <c r="V170" i="6" s="1"/>
  <c r="U174" i="6"/>
  <c r="V174" i="6" s="1"/>
  <c r="U169" i="6"/>
  <c r="V169" i="6" s="1"/>
  <c r="U173" i="6"/>
  <c r="V173" i="6" s="1"/>
  <c r="U175" i="6"/>
  <c r="V175" i="6" s="1"/>
  <c r="U171" i="6"/>
  <c r="V171" i="6" s="1"/>
  <c r="U172" i="6"/>
  <c r="V172" i="6" s="1"/>
  <c r="X174" i="6"/>
  <c r="U176" i="6"/>
  <c r="V176" i="6" s="1"/>
  <c r="D134" i="6"/>
  <c r="D162" i="6" s="1"/>
  <c r="G134" i="6"/>
  <c r="G162" i="6" s="1"/>
  <c r="C134" i="6"/>
  <c r="C162" i="6" s="1"/>
  <c r="E134" i="6"/>
  <c r="E162" i="6" s="1"/>
  <c r="H134" i="6"/>
  <c r="H162" i="6" s="1"/>
  <c r="U190" i="6"/>
  <c r="V190" i="6" s="1"/>
  <c r="W190" i="6"/>
  <c r="V166" i="6"/>
  <c r="T216" i="6"/>
  <c r="T242" i="6"/>
  <c r="P242" i="6" s="1"/>
  <c r="P169" i="6"/>
  <c r="P167" i="6"/>
  <c r="P143" i="6"/>
  <c r="P176" i="6"/>
  <c r="P147" i="6"/>
  <c r="P175" i="6"/>
  <c r="Q167" i="6"/>
  <c r="P150" i="6"/>
  <c r="P172" i="6"/>
  <c r="Q165" i="6"/>
  <c r="P149" i="6"/>
  <c r="P148" i="6"/>
  <c r="P166" i="6"/>
  <c r="P145" i="6"/>
  <c r="R167" i="6" l="1"/>
  <c r="S216" i="6" a="1"/>
  <c r="S216" i="6" s="1"/>
  <c r="U216" i="6" s="1"/>
  <c r="V216" i="6" s="1"/>
  <c r="P216" i="6"/>
  <c r="C121" i="6" a="1"/>
  <c r="R165" i="6"/>
  <c r="S242" i="6" a="1"/>
  <c r="S242" i="6" s="1"/>
  <c r="W216" i="6" l="1"/>
  <c r="X216" i="6"/>
  <c r="F121" i="6"/>
  <c r="F149" i="6" s="1"/>
  <c r="H121" i="6"/>
  <c r="H149" i="6" s="1"/>
  <c r="E121" i="6"/>
  <c r="E149" i="6" s="1"/>
  <c r="C121" i="6"/>
  <c r="C149" i="6" s="1"/>
  <c r="G121" i="6"/>
  <c r="G149" i="6" s="1"/>
  <c r="D121" i="6"/>
  <c r="D149" i="6" s="1"/>
  <c r="O191" i="6" a="1"/>
  <c r="X242" i="6"/>
  <c r="U242" i="6"/>
  <c r="V242" i="6" s="1"/>
  <c r="W242" i="6"/>
  <c r="P146" i="6"/>
  <c r="O194" i="6" l="1"/>
  <c r="Q194" i="6" s="1"/>
  <c r="R194" i="6" s="1"/>
  <c r="O198" i="6"/>
  <c r="Q198" i="6" s="1"/>
  <c r="O202" i="6"/>
  <c r="Q202" i="6" s="1"/>
  <c r="R202" i="6" s="1"/>
  <c r="O191" i="6"/>
  <c r="O195" i="6"/>
  <c r="Q195" i="6" s="1"/>
  <c r="R195" i="6" s="1"/>
  <c r="O199" i="6"/>
  <c r="Q199" i="6" s="1"/>
  <c r="R199" i="6" s="1"/>
  <c r="O192" i="6"/>
  <c r="Q192" i="6" s="1"/>
  <c r="R192" i="6" s="1"/>
  <c r="O196" i="6"/>
  <c r="Q196" i="6" s="1"/>
  <c r="R196" i="6" s="1"/>
  <c r="O200" i="6"/>
  <c r="Q200" i="6" s="1"/>
  <c r="R200" i="6" s="1"/>
  <c r="O193" i="6"/>
  <c r="Q193" i="6" s="1"/>
  <c r="R193" i="6" s="1"/>
  <c r="O197" i="6"/>
  <c r="Q197" i="6" s="1"/>
  <c r="O201" i="6"/>
  <c r="Q201" i="6" s="1"/>
  <c r="R201" i="6" s="1"/>
  <c r="R198" i="6" l="1"/>
  <c r="R197" i="6"/>
  <c r="C135" i="6" a="1"/>
  <c r="T201" i="6"/>
  <c r="T196" i="6"/>
  <c r="T191" i="6"/>
  <c r="P191" i="6" s="1"/>
  <c r="T197" i="6"/>
  <c r="T192" i="6"/>
  <c r="T202" i="6"/>
  <c r="T193" i="6"/>
  <c r="T199" i="6"/>
  <c r="T198" i="6"/>
  <c r="T200" i="6"/>
  <c r="T195" i="6"/>
  <c r="T194" i="6"/>
  <c r="F135" i="6" l="1"/>
  <c r="F163" i="6" s="1"/>
  <c r="E135" i="6"/>
  <c r="E163" i="6" s="1"/>
  <c r="C135" i="6"/>
  <c r="C163" i="6" s="1"/>
  <c r="G135" i="6"/>
  <c r="G163" i="6" s="1"/>
  <c r="D135" i="6"/>
  <c r="D163" i="6" s="1"/>
  <c r="H135" i="6"/>
  <c r="H163" i="6" s="1"/>
  <c r="S197" i="6" a="1"/>
  <c r="S197" i="6" s="1"/>
  <c r="S192" i="6" a="1"/>
  <c r="S192" i="6" s="1"/>
  <c r="S201" i="6" a="1"/>
  <c r="S201" i="6" s="1"/>
  <c r="S193" i="6" a="1"/>
  <c r="S193" i="6" s="1"/>
  <c r="S191" i="6" a="1"/>
  <c r="S191" i="6" s="1"/>
  <c r="S195" i="6" a="1"/>
  <c r="S195" i="6" s="1"/>
  <c r="S199" i="6" a="1"/>
  <c r="S199" i="6" s="1"/>
  <c r="S202" i="6" a="1"/>
  <c r="S202" i="6" s="1"/>
  <c r="S194" i="6" a="1"/>
  <c r="S194" i="6" s="1"/>
  <c r="S200" i="6" a="1"/>
  <c r="S200" i="6" s="1"/>
  <c r="S196" i="6" a="1"/>
  <c r="S196" i="6" s="1"/>
  <c r="S198" i="6" a="1"/>
  <c r="S198" i="6" s="1"/>
  <c r="W198" i="6" l="1"/>
  <c r="X198" i="6"/>
  <c r="W199" i="6"/>
  <c r="X199" i="6"/>
  <c r="X201" i="6"/>
  <c r="W201" i="6"/>
  <c r="W202" i="6"/>
  <c r="X202" i="6"/>
  <c r="W200" i="6"/>
  <c r="X200" i="6"/>
  <c r="W195" i="6"/>
  <c r="X195" i="6"/>
  <c r="X192" i="6"/>
  <c r="W192" i="6"/>
  <c r="W193" i="6"/>
  <c r="X193" i="6"/>
  <c r="W196" i="6"/>
  <c r="X196" i="6"/>
  <c r="W194" i="6"/>
  <c r="X194" i="6"/>
  <c r="U202" i="6"/>
  <c r="V202" i="6" s="1"/>
  <c r="U193" i="6"/>
  <c r="V193" i="6" s="1"/>
  <c r="U196" i="6"/>
  <c r="V196" i="6" s="1"/>
  <c r="U200" i="6"/>
  <c r="V200" i="6" s="1"/>
  <c r="U194" i="6"/>
  <c r="V194" i="6" s="1"/>
  <c r="U191" i="6"/>
  <c r="V191" i="6" s="1"/>
  <c r="U195" i="6"/>
  <c r="V195" i="6" s="1"/>
  <c r="X191" i="6"/>
  <c r="U192" i="6"/>
  <c r="V192" i="6" s="1"/>
  <c r="U197" i="6"/>
  <c r="V197" i="6" s="1"/>
  <c r="U199" i="6"/>
  <c r="V199" i="6" s="1"/>
  <c r="W191" i="6"/>
  <c r="U198" i="6"/>
  <c r="V198" i="6" s="1"/>
  <c r="U201" i="6"/>
  <c r="V201" i="6" s="1"/>
  <c r="X197" i="6"/>
  <c r="W197" i="6"/>
  <c r="P195" i="6"/>
  <c r="Q191" i="6"/>
  <c r="P192" i="6"/>
  <c r="P202" i="6"/>
  <c r="P201" i="6"/>
  <c r="P194" i="6"/>
  <c r="P199" i="6"/>
  <c r="P196" i="6"/>
  <c r="P200" i="6"/>
  <c r="P197" i="6"/>
  <c r="P193" i="6"/>
  <c r="P198" i="6"/>
  <c r="C122" i="6" l="1" a="1"/>
  <c r="R191" i="6"/>
  <c r="O217" i="6" s="1" a="1"/>
  <c r="F122" i="6" l="1"/>
  <c r="F150" i="6" s="1"/>
  <c r="E122" i="6"/>
  <c r="E150" i="6" s="1"/>
  <c r="C122" i="6"/>
  <c r="C150" i="6" s="1"/>
  <c r="G122" i="6"/>
  <c r="G150" i="6" s="1"/>
  <c r="D122" i="6"/>
  <c r="D150" i="6" s="1"/>
  <c r="H122" i="6"/>
  <c r="H150" i="6" s="1"/>
  <c r="O220" i="6"/>
  <c r="Q220" i="6" s="1"/>
  <c r="R220" i="6" s="1"/>
  <c r="O224" i="6"/>
  <c r="Q224" i="6" s="1"/>
  <c r="O228" i="6"/>
  <c r="Q228" i="6" s="1"/>
  <c r="R228" i="6" s="1"/>
  <c r="O217" i="6"/>
  <c r="O221" i="6"/>
  <c r="Q221" i="6" s="1"/>
  <c r="R221" i="6" s="1"/>
  <c r="O225" i="6"/>
  <c r="Q225" i="6" s="1"/>
  <c r="R225" i="6" s="1"/>
  <c r="O218" i="6"/>
  <c r="Q218" i="6" s="1"/>
  <c r="R218" i="6" s="1"/>
  <c r="O222" i="6"/>
  <c r="Q222" i="6" s="1"/>
  <c r="R222" i="6" s="1"/>
  <c r="O226" i="6"/>
  <c r="Q226" i="6" s="1"/>
  <c r="R226" i="6" s="1"/>
  <c r="O219" i="6"/>
  <c r="Q219" i="6" s="1"/>
  <c r="R219" i="6" s="1"/>
  <c r="O223" i="6"/>
  <c r="Q223" i="6" s="1"/>
  <c r="O227" i="6"/>
  <c r="Q227" i="6" s="1"/>
  <c r="R227" i="6" s="1"/>
  <c r="P174" i="6"/>
  <c r="R224" i="6" l="1"/>
  <c r="R223" i="6"/>
  <c r="C136" i="6" a="1"/>
  <c r="T223" i="6"/>
  <c r="T227" i="6"/>
  <c r="T222" i="6"/>
  <c r="T217" i="6"/>
  <c r="T218" i="6"/>
  <c r="T228" i="6"/>
  <c r="T219" i="6"/>
  <c r="T225" i="6"/>
  <c r="T224" i="6"/>
  <c r="T226" i="6"/>
  <c r="T221" i="6"/>
  <c r="T220" i="6"/>
  <c r="F136" i="6" l="1"/>
  <c r="F164" i="6" s="1"/>
  <c r="C136" i="6"/>
  <c r="C164" i="6" s="1"/>
  <c r="G136" i="6"/>
  <c r="G164" i="6" s="1"/>
  <c r="D136" i="6"/>
  <c r="D164" i="6" s="1"/>
  <c r="H136" i="6"/>
  <c r="H164" i="6" s="1"/>
  <c r="E136" i="6"/>
  <c r="E164" i="6" s="1"/>
  <c r="S218" i="6" a="1"/>
  <c r="S218" i="6" s="1"/>
  <c r="X218" i="6" s="1"/>
  <c r="S227" i="6" a="1"/>
  <c r="S227" i="6" s="1"/>
  <c r="W227" i="6" s="1"/>
  <c r="S221" i="6" a="1"/>
  <c r="S221" i="6" s="1"/>
  <c r="X221" i="6" s="1"/>
  <c r="S220" i="6" a="1"/>
  <c r="S220" i="6" s="1"/>
  <c r="X220" i="6" s="1"/>
  <c r="S222" i="6" a="1"/>
  <c r="S222" i="6" s="1"/>
  <c r="W222" i="6" s="1"/>
  <c r="S226" i="6" a="1"/>
  <c r="S226" i="6" s="1"/>
  <c r="X226" i="6" s="1"/>
  <c r="S225" i="6" a="1"/>
  <c r="S225" i="6" s="1"/>
  <c r="X225" i="6" s="1"/>
  <c r="S223" i="6" a="1"/>
  <c r="S223" i="6" s="1"/>
  <c r="X223" i="6" s="1"/>
  <c r="S219" i="6" a="1"/>
  <c r="S219" i="6" s="1"/>
  <c r="X219" i="6" s="1"/>
  <c r="S224" i="6" a="1"/>
  <c r="S224" i="6" s="1"/>
  <c r="W224" i="6" s="1"/>
  <c r="S217" i="6" a="1"/>
  <c r="S217" i="6" s="1"/>
  <c r="W217" i="6" s="1"/>
  <c r="S228" i="6" a="1"/>
  <c r="S228" i="6" s="1"/>
  <c r="X228" i="6" s="1"/>
  <c r="X227" i="6" l="1"/>
  <c r="X217" i="6"/>
  <c r="W221" i="6"/>
  <c r="W218" i="6"/>
  <c r="W220" i="6"/>
  <c r="X224" i="6"/>
  <c r="W226" i="6"/>
  <c r="X222" i="6"/>
  <c r="W219" i="6"/>
  <c r="U224" i="6"/>
  <c r="V224" i="6" s="1"/>
  <c r="U218" i="6"/>
  <c r="V218" i="6" s="1"/>
  <c r="U220" i="6"/>
  <c r="V220" i="6" s="1"/>
  <c r="W225" i="6"/>
  <c r="U223" i="6"/>
  <c r="V223" i="6" s="1"/>
  <c r="U225" i="6"/>
  <c r="V225" i="6" s="1"/>
  <c r="W223" i="6"/>
  <c r="U222" i="6"/>
  <c r="V222" i="6" s="1"/>
  <c r="U217" i="6"/>
  <c r="V217" i="6" s="1"/>
  <c r="W228" i="6"/>
  <c r="U221" i="6"/>
  <c r="V221" i="6" s="1"/>
  <c r="U227" i="6"/>
  <c r="V227" i="6" s="1"/>
  <c r="U226" i="6"/>
  <c r="V226" i="6" s="1"/>
  <c r="U219" i="6"/>
  <c r="V219" i="6" s="1"/>
  <c r="U228" i="6"/>
  <c r="V228" i="6" s="1"/>
  <c r="P217" i="6"/>
  <c r="P221" i="6"/>
  <c r="P220" i="6"/>
  <c r="P218" i="6"/>
  <c r="P223" i="6"/>
  <c r="Q217" i="6"/>
  <c r="P225" i="6"/>
  <c r="P226" i="6"/>
  <c r="P219" i="6"/>
  <c r="P228" i="6"/>
  <c r="C123" i="6" l="1" a="1"/>
  <c r="R217" i="6"/>
  <c r="F123" i="6" l="1"/>
  <c r="F151" i="6" s="1"/>
  <c r="C123" i="6"/>
  <c r="C151" i="6" s="1"/>
  <c r="G123" i="6"/>
  <c r="G151" i="6" s="1"/>
  <c r="D123" i="6"/>
  <c r="D151" i="6" s="1"/>
  <c r="H123" i="6"/>
  <c r="H151" i="6" s="1"/>
  <c r="E123" i="6"/>
  <c r="E151" i="6" s="1"/>
  <c r="O243" i="6" a="1"/>
  <c r="O243" i="6" s="1"/>
  <c r="T243" i="6" l="1"/>
  <c r="S243" i="6" s="1" a="1"/>
  <c r="S243" i="6" s="1"/>
  <c r="O249" i="6"/>
  <c r="O250" i="6"/>
  <c r="O252" i="6"/>
  <c r="O247" i="6"/>
  <c r="O246" i="6"/>
  <c r="O244" i="6"/>
  <c r="O254" i="6"/>
  <c r="O245" i="6"/>
  <c r="O251" i="6"/>
  <c r="O253" i="6"/>
  <c r="O248" i="6"/>
  <c r="T245" i="6" l="1"/>
  <c r="Q245" i="6"/>
  <c r="R245" i="6" s="1"/>
  <c r="T247" i="6"/>
  <c r="Q247" i="6"/>
  <c r="R247" i="6" s="1"/>
  <c r="T248" i="6"/>
  <c r="Q248" i="6"/>
  <c r="R248" i="6" s="1"/>
  <c r="T254" i="6"/>
  <c r="Q254" i="6"/>
  <c r="R254" i="6" s="1"/>
  <c r="T252" i="6"/>
  <c r="Q252" i="6"/>
  <c r="R252" i="6" s="1"/>
  <c r="T253" i="6"/>
  <c r="Q253" i="6"/>
  <c r="R253" i="6" s="1"/>
  <c r="T244" i="6"/>
  <c r="Q244" i="6"/>
  <c r="R244" i="6" s="1"/>
  <c r="T250" i="6"/>
  <c r="Q250" i="6"/>
  <c r="T251" i="6"/>
  <c r="Q251" i="6"/>
  <c r="R251" i="6" s="1"/>
  <c r="T246" i="6"/>
  <c r="Q246" i="6"/>
  <c r="R246" i="6" s="1"/>
  <c r="T249" i="6"/>
  <c r="Q249" i="6"/>
  <c r="W243" i="6"/>
  <c r="X243" i="6"/>
  <c r="R250" i="6" l="1"/>
  <c r="R249" i="6"/>
  <c r="C137" i="6" a="1"/>
  <c r="S253" i="6" a="1"/>
  <c r="S253" i="6" s="1"/>
  <c r="X253" i="6" s="1"/>
  <c r="S245" i="6" a="1"/>
  <c r="S245" i="6" s="1"/>
  <c r="X245" i="6" s="1"/>
  <c r="S254" i="6" a="1"/>
  <c r="S254" i="6" s="1"/>
  <c r="W254" i="6" s="1"/>
  <c r="S252" i="6" a="1"/>
  <c r="S252" i="6" s="1"/>
  <c r="X252" i="6" s="1"/>
  <c r="S247" i="6" a="1"/>
  <c r="S247" i="6" s="1"/>
  <c r="X247" i="6" s="1"/>
  <c r="S244" i="6" a="1"/>
  <c r="S244" i="6" s="1"/>
  <c r="S251" i="6" a="1"/>
  <c r="S251" i="6" s="1"/>
  <c r="W251" i="6" s="1"/>
  <c r="S246" i="6" a="1"/>
  <c r="S246" i="6" s="1"/>
  <c r="W246" i="6" s="1"/>
  <c r="S248" i="6" a="1"/>
  <c r="S248" i="6" s="1"/>
  <c r="S249" i="6" a="1"/>
  <c r="S249" i="6" s="1"/>
  <c r="X249" i="6" s="1"/>
  <c r="S250" i="6" a="1"/>
  <c r="S250" i="6" s="1"/>
  <c r="X250" i="6" s="1"/>
  <c r="U243" i="6" l="1"/>
  <c r="F137" i="6"/>
  <c r="F165" i="6" s="1"/>
  <c r="C137" i="6"/>
  <c r="C165" i="6" s="1"/>
  <c r="G137" i="6"/>
  <c r="G165" i="6" s="1"/>
  <c r="D137" i="6"/>
  <c r="D165" i="6" s="1"/>
  <c r="H137" i="6"/>
  <c r="H165" i="6" s="1"/>
  <c r="E137" i="6"/>
  <c r="E165" i="6" s="1"/>
  <c r="W245" i="6"/>
  <c r="W247" i="6"/>
  <c r="W253" i="6"/>
  <c r="X254" i="6"/>
  <c r="W252" i="6"/>
  <c r="U245" i="6"/>
  <c r="V245" i="6" s="1"/>
  <c r="X246" i="6"/>
  <c r="U244" i="6"/>
  <c r="V244" i="6" s="1"/>
  <c r="U248" i="6"/>
  <c r="V248" i="6" s="1"/>
  <c r="U251" i="6"/>
  <c r="V251" i="6" s="1"/>
  <c r="X251" i="6"/>
  <c r="W250" i="6"/>
  <c r="X244" i="6"/>
  <c r="W244" i="6"/>
  <c r="X248" i="6"/>
  <c r="W248" i="6"/>
  <c r="U254" i="6"/>
  <c r="V254" i="6" s="1"/>
  <c r="W249" i="6"/>
  <c r="U247" i="6"/>
  <c r="V247" i="6" s="1"/>
  <c r="U246" i="6"/>
  <c r="V246" i="6" s="1"/>
  <c r="U250" i="6"/>
  <c r="V250" i="6" s="1"/>
  <c r="U253" i="6"/>
  <c r="V253" i="6" s="1"/>
  <c r="U249" i="6"/>
  <c r="V249" i="6" s="1"/>
  <c r="U252" i="6"/>
  <c r="V252" i="6" s="1"/>
  <c r="P249" i="6"/>
  <c r="P251" i="6"/>
  <c r="P248" i="6"/>
  <c r="P250" i="6"/>
  <c r="V243" i="6" l="1"/>
  <c r="P243" i="6"/>
  <c r="P224" i="6"/>
  <c r="P245" i="6"/>
  <c r="P222" i="6"/>
  <c r="Q243" i="6"/>
  <c r="P227" i="6"/>
  <c r="P244" i="6"/>
  <c r="P246" i="6"/>
  <c r="C124" i="6" l="1" a="1"/>
  <c r="F124" i="6" s="1"/>
  <c r="F152" i="6" s="1"/>
  <c r="R243" i="6"/>
  <c r="O269" i="6" s="1" a="1"/>
  <c r="O274" i="6" s="1"/>
  <c r="O271" i="6" l="1"/>
  <c r="T271" i="6" s="1"/>
  <c r="O276" i="6"/>
  <c r="Q276" i="6" s="1"/>
  <c r="D124" i="6"/>
  <c r="D152" i="6" s="1"/>
  <c r="O278" i="6"/>
  <c r="T278" i="6" s="1"/>
  <c r="O275" i="6"/>
  <c r="T275" i="6" s="1"/>
  <c r="O280" i="6"/>
  <c r="Q280" i="6" s="1"/>
  <c r="R280" i="6" s="1"/>
  <c r="G124" i="6"/>
  <c r="G152" i="6" s="1"/>
  <c r="O277" i="6"/>
  <c r="T277" i="6" s="1"/>
  <c r="O269" i="6"/>
  <c r="T269" i="6" s="1"/>
  <c r="O279" i="6"/>
  <c r="T279" i="6" s="1"/>
  <c r="E124" i="6"/>
  <c r="E152" i="6" s="1"/>
  <c r="C124" i="6"/>
  <c r="C152" i="6" s="1"/>
  <c r="O270" i="6"/>
  <c r="Q270" i="6" s="1"/>
  <c r="R270" i="6" s="1"/>
  <c r="O273" i="6"/>
  <c r="Q273" i="6" s="1"/>
  <c r="R273" i="6" s="1"/>
  <c r="O272" i="6"/>
  <c r="T272" i="6" s="1"/>
  <c r="H124" i="6"/>
  <c r="H152" i="6" s="1"/>
  <c r="T274" i="6"/>
  <c r="Q274" i="6"/>
  <c r="R274" i="6" s="1"/>
  <c r="T270" i="6" l="1"/>
  <c r="S272" i="6" s="1" a="1"/>
  <c r="S272" i="6" s="1"/>
  <c r="Q271" i="6"/>
  <c r="R271" i="6" s="1"/>
  <c r="Q275" i="6"/>
  <c r="R275" i="6" s="1"/>
  <c r="T276" i="6"/>
  <c r="T280" i="6"/>
  <c r="T273" i="6"/>
  <c r="Q279" i="6"/>
  <c r="R279" i="6" s="1"/>
  <c r="Q278" i="6"/>
  <c r="R278" i="6" s="1"/>
  <c r="Q277" i="6"/>
  <c r="R277" i="6" s="1"/>
  <c r="Q272" i="6"/>
  <c r="R272" i="6" s="1"/>
  <c r="R276" i="6"/>
  <c r="S269" i="6" a="1"/>
  <c r="S269" i="6" s="1"/>
  <c r="S270" i="6" l="1" a="1"/>
  <c r="S270" i="6" s="1"/>
  <c r="W270" i="6" s="1"/>
  <c r="S271" i="6" a="1"/>
  <c r="S271" i="6" s="1"/>
  <c r="W271" i="6" s="1"/>
  <c r="S277" i="6" a="1"/>
  <c r="S277" i="6" s="1"/>
  <c r="W277" i="6" s="1"/>
  <c r="S275" i="6" a="1"/>
  <c r="S275" i="6" s="1"/>
  <c r="W275" i="6" s="1"/>
  <c r="S273" i="6" a="1"/>
  <c r="S273" i="6" s="1"/>
  <c r="W273" i="6" s="1"/>
  <c r="S276" i="6" a="1"/>
  <c r="S276" i="6" s="1"/>
  <c r="X276" i="6" s="1"/>
  <c r="S274" i="6" a="1"/>
  <c r="S274" i="6" s="1"/>
  <c r="X274" i="6" s="1"/>
  <c r="S280" i="6" a="1"/>
  <c r="S280" i="6" s="1"/>
  <c r="X280" i="6" s="1"/>
  <c r="S279" i="6" a="1"/>
  <c r="S279" i="6" s="1"/>
  <c r="X279" i="6" s="1"/>
  <c r="S278" i="6" a="1"/>
  <c r="S278" i="6" s="1"/>
  <c r="W278" i="6" s="1"/>
  <c r="C138" i="6" a="1"/>
  <c r="F138" i="6" s="1"/>
  <c r="F166" i="6" s="1"/>
  <c r="W272" i="6"/>
  <c r="X272" i="6"/>
  <c r="W269" i="6"/>
  <c r="X269" i="6"/>
  <c r="U269" i="6"/>
  <c r="V269" i="6" s="1"/>
  <c r="P269" i="6"/>
  <c r="P273" i="6"/>
  <c r="X270" i="6" l="1"/>
  <c r="X271" i="6"/>
  <c r="X277" i="6"/>
  <c r="U270" i="6"/>
  <c r="W279" i="6"/>
  <c r="W274" i="6"/>
  <c r="X273" i="6"/>
  <c r="X275" i="6"/>
  <c r="U279" i="6"/>
  <c r="V279" i="6" s="1"/>
  <c r="X278" i="6"/>
  <c r="W276" i="6"/>
  <c r="U271" i="6"/>
  <c r="V271" i="6" s="1"/>
  <c r="U278" i="6"/>
  <c r="V278" i="6" s="1"/>
  <c r="U274" i="6"/>
  <c r="V274" i="6" s="1"/>
  <c r="W280" i="6"/>
  <c r="U280" i="6"/>
  <c r="V280" i="6" s="1"/>
  <c r="U272" i="6"/>
  <c r="V272" i="6" s="1"/>
  <c r="U277" i="6"/>
  <c r="V277" i="6" s="1"/>
  <c r="U275" i="6"/>
  <c r="V275" i="6" s="1"/>
  <c r="U276" i="6"/>
  <c r="V276" i="6" s="1"/>
  <c r="U273" i="6"/>
  <c r="V273" i="6" s="1"/>
  <c r="D138" i="6"/>
  <c r="D166" i="6" s="1"/>
  <c r="G138" i="6"/>
  <c r="G166" i="6" s="1"/>
  <c r="E138" i="6"/>
  <c r="E166" i="6" s="1"/>
  <c r="C138" i="6"/>
  <c r="C166" i="6" s="1"/>
  <c r="H138" i="6"/>
  <c r="H166" i="6" s="1"/>
  <c r="P280" i="6"/>
  <c r="V270" i="6" l="1"/>
  <c r="P247" i="6"/>
  <c r="P272" i="6"/>
  <c r="P254" i="6"/>
  <c r="P271" i="6"/>
  <c r="P270" i="6"/>
  <c r="P252" i="6"/>
  <c r="P253" i="6"/>
  <c r="Q269" i="6"/>
  <c r="C125" i="6" l="1" a="1"/>
  <c r="R269" i="6"/>
  <c r="O295" i="6" s="1" a="1"/>
  <c r="G125" i="6" l="1"/>
  <c r="G153" i="6" s="1"/>
  <c r="H125" i="6"/>
  <c r="H153" i="6" s="1"/>
  <c r="F125" i="6"/>
  <c r="F153" i="6" s="1"/>
  <c r="D125" i="6"/>
  <c r="D153" i="6" s="1"/>
  <c r="C125" i="6"/>
  <c r="C153" i="6" s="1"/>
  <c r="E125" i="6"/>
  <c r="E153" i="6" s="1"/>
  <c r="O305" i="6"/>
  <c r="O295" i="6"/>
  <c r="T295" i="6" s="1"/>
  <c r="S295" i="6" s="1" a="1"/>
  <c r="S295" i="6" s="1"/>
  <c r="O299" i="6"/>
  <c r="O297" i="6"/>
  <c r="O298" i="6"/>
  <c r="O296" i="6"/>
  <c r="O306" i="6"/>
  <c r="O301" i="6"/>
  <c r="O304" i="6"/>
  <c r="O302" i="6"/>
  <c r="O300" i="6"/>
  <c r="O303" i="6"/>
  <c r="Q302" i="6" l="1"/>
  <c r="R302" i="6" s="1"/>
  <c r="T302" i="6"/>
  <c r="Q296" i="6"/>
  <c r="R296" i="6" s="1"/>
  <c r="T296" i="6"/>
  <c r="Q304" i="6"/>
  <c r="R304" i="6" s="1"/>
  <c r="T304" i="6"/>
  <c r="Q298" i="6"/>
  <c r="R298" i="6" s="1"/>
  <c r="T298" i="6"/>
  <c r="Q305" i="6"/>
  <c r="R305" i="6" s="1"/>
  <c r="T305" i="6"/>
  <c r="Q303" i="6"/>
  <c r="R303" i="6" s="1"/>
  <c r="T303" i="6"/>
  <c r="Q301" i="6"/>
  <c r="T301" i="6"/>
  <c r="Q297" i="6"/>
  <c r="R297" i="6" s="1"/>
  <c r="T297" i="6"/>
  <c r="Q300" i="6"/>
  <c r="R300" i="6" s="1"/>
  <c r="T300" i="6"/>
  <c r="Q306" i="6"/>
  <c r="R306" i="6" s="1"/>
  <c r="T306" i="6"/>
  <c r="Q299" i="6"/>
  <c r="R299" i="6" s="1"/>
  <c r="T299" i="6"/>
  <c r="P299" i="6" s="1"/>
  <c r="W295" i="6"/>
  <c r="X295" i="6"/>
  <c r="U295" i="6"/>
  <c r="V295" i="6" s="1"/>
  <c r="P295" i="6"/>
  <c r="S303" i="6" l="1" a="1"/>
  <c r="S303" i="6" s="1"/>
  <c r="X303" i="6" s="1"/>
  <c r="S297" i="6" a="1"/>
  <c r="S297" i="6" s="1"/>
  <c r="S296" i="6" a="1"/>
  <c r="S296" i="6" s="1"/>
  <c r="S305" i="6" a="1"/>
  <c r="S305" i="6" s="1"/>
  <c r="S298" i="6" a="1"/>
  <c r="S298" i="6" s="1"/>
  <c r="S302" i="6" a="1"/>
  <c r="S302" i="6" s="1"/>
  <c r="S300" i="6" a="1"/>
  <c r="S300" i="6" s="1"/>
  <c r="S304" i="6" a="1"/>
  <c r="S304" i="6" s="1"/>
  <c r="S301" i="6" a="1"/>
  <c r="S301" i="6" s="1"/>
  <c r="S306" i="6" a="1"/>
  <c r="S306" i="6" s="1"/>
  <c r="C139" i="6" a="1"/>
  <c r="R301" i="6"/>
  <c r="S299" i="6" a="1"/>
  <c r="S299" i="6" s="1"/>
  <c r="W303" i="6" l="1"/>
  <c r="X304" i="6"/>
  <c r="W304" i="6"/>
  <c r="D139" i="6"/>
  <c r="D167" i="6" s="1"/>
  <c r="H139" i="6"/>
  <c r="H167" i="6" s="1"/>
  <c r="C139" i="6"/>
  <c r="C167" i="6" s="1"/>
  <c r="E139" i="6"/>
  <c r="E167" i="6" s="1"/>
  <c r="G139" i="6"/>
  <c r="G167" i="6" s="1"/>
  <c r="F139" i="6"/>
  <c r="F167" i="6" s="1"/>
  <c r="X300" i="6"/>
  <c r="W300" i="6"/>
  <c r="U296" i="6"/>
  <c r="U301" i="6"/>
  <c r="V301" i="6" s="1"/>
  <c r="U306" i="6"/>
  <c r="V306" i="6" s="1"/>
  <c r="W296" i="6"/>
  <c r="U300" i="6"/>
  <c r="V300" i="6" s="1"/>
  <c r="U305" i="6"/>
  <c r="V305" i="6" s="1"/>
  <c r="X296" i="6"/>
  <c r="U299" i="6"/>
  <c r="V299" i="6" s="1"/>
  <c r="U304" i="6"/>
  <c r="V304" i="6" s="1"/>
  <c r="U298" i="6"/>
  <c r="V298" i="6" s="1"/>
  <c r="U303" i="6"/>
  <c r="V303" i="6" s="1"/>
  <c r="U297" i="6"/>
  <c r="V297" i="6" s="1"/>
  <c r="U302" i="6"/>
  <c r="V302" i="6" s="1"/>
  <c r="W306" i="6"/>
  <c r="X306" i="6"/>
  <c r="X297" i="6"/>
  <c r="W297" i="6"/>
  <c r="W302" i="6"/>
  <c r="X302" i="6"/>
  <c r="W299" i="6"/>
  <c r="X299" i="6"/>
  <c r="X301" i="6"/>
  <c r="W301" i="6"/>
  <c r="X298" i="6"/>
  <c r="W298" i="6"/>
  <c r="W305" i="6"/>
  <c r="X305" i="6"/>
  <c r="P305" i="6"/>
  <c r="P300" i="6"/>
  <c r="P306" i="6"/>
  <c r="P304" i="6"/>
  <c r="P302" i="6"/>
  <c r="P301" i="6"/>
  <c r="V296" i="6" l="1"/>
  <c r="P297" i="6"/>
  <c r="P298" i="6"/>
  <c r="Q295" i="6"/>
  <c r="P296" i="6"/>
  <c r="R295" i="6" l="1"/>
  <c r="O321" i="6" s="1" a="1"/>
  <c r="C126" i="6" a="1"/>
  <c r="D126" i="6" l="1"/>
  <c r="D154" i="6" s="1"/>
  <c r="G126" i="6"/>
  <c r="G154" i="6" s="1"/>
  <c r="F126" i="6"/>
  <c r="F154" i="6" s="1"/>
  <c r="E126" i="6"/>
  <c r="E154" i="6" s="1"/>
  <c r="C126" i="6"/>
  <c r="C154" i="6" s="1"/>
  <c r="H126" i="6"/>
  <c r="H154" i="6" s="1"/>
  <c r="O330" i="6"/>
  <c r="O328" i="6"/>
  <c r="O323" i="6"/>
  <c r="O326" i="6"/>
  <c r="O324" i="6"/>
  <c r="O329" i="6"/>
  <c r="O322" i="6"/>
  <c r="O331" i="6"/>
  <c r="O325" i="6"/>
  <c r="O321" i="6"/>
  <c r="T321" i="6" s="1"/>
  <c r="P321" i="6" s="1"/>
  <c r="O332" i="6"/>
  <c r="O327" i="6"/>
  <c r="S321" i="6" l="1" a="1"/>
  <c r="S321" i="6" s="1"/>
  <c r="T329" i="6"/>
  <c r="Q329" i="6"/>
  <c r="R329" i="6" s="1"/>
  <c r="T328" i="6"/>
  <c r="Q328" i="6"/>
  <c r="R328" i="6" s="1"/>
  <c r="Q325" i="6"/>
  <c r="R325" i="6" s="1"/>
  <c r="T325" i="6"/>
  <c r="P325" i="6" s="1"/>
  <c r="Q324" i="6"/>
  <c r="R324" i="6" s="1"/>
  <c r="T324" i="6"/>
  <c r="Q330" i="6"/>
  <c r="R330" i="6" s="1"/>
  <c r="T330" i="6"/>
  <c r="T327" i="6"/>
  <c r="Q327" i="6"/>
  <c r="T331" i="6"/>
  <c r="Q331" i="6"/>
  <c r="R331" i="6" s="1"/>
  <c r="T326" i="6"/>
  <c r="Q326" i="6"/>
  <c r="R326" i="6" s="1"/>
  <c r="Q332" i="6"/>
  <c r="R332" i="6" s="1"/>
  <c r="T332" i="6"/>
  <c r="Q322" i="6"/>
  <c r="R322" i="6" s="1"/>
  <c r="T322" i="6"/>
  <c r="Q323" i="6"/>
  <c r="R323" i="6" s="1"/>
  <c r="T323" i="6"/>
  <c r="R327" i="6" l="1"/>
  <c r="C140" i="6" a="1"/>
  <c r="S332" i="6" a="1"/>
  <c r="S332" i="6" s="1"/>
  <c r="S330" i="6" a="1"/>
  <c r="S330" i="6" s="1"/>
  <c r="S331" i="6" a="1"/>
  <c r="S331" i="6" s="1"/>
  <c r="S322" i="6" a="1"/>
  <c r="S322" i="6" s="1"/>
  <c r="S325" i="6" a="1"/>
  <c r="S325" i="6" s="1"/>
  <c r="S324" i="6" a="1"/>
  <c r="S324" i="6" s="1"/>
  <c r="S327" i="6" a="1"/>
  <c r="S327" i="6" s="1"/>
  <c r="S326" i="6" a="1"/>
  <c r="S326" i="6" s="1"/>
  <c r="S329" i="6" a="1"/>
  <c r="S329" i="6" s="1"/>
  <c r="S328" i="6" a="1"/>
  <c r="S328" i="6" s="1"/>
  <c r="S323" i="6" a="1"/>
  <c r="S323" i="6" s="1"/>
  <c r="X321" i="6"/>
  <c r="W321" i="6"/>
  <c r="U321" i="6"/>
  <c r="V321" i="6" s="1"/>
  <c r="U323" i="6" l="1"/>
  <c r="V323" i="6" s="1"/>
  <c r="U329" i="6"/>
  <c r="V329" i="6" s="1"/>
  <c r="U332" i="6"/>
  <c r="V332" i="6" s="1"/>
  <c r="U331" i="6"/>
  <c r="V331" i="6" s="1"/>
  <c r="U328" i="6"/>
  <c r="V328" i="6" s="1"/>
  <c r="U322" i="6"/>
  <c r="W328" i="6"/>
  <c r="X328" i="6"/>
  <c r="X324" i="6"/>
  <c r="W324" i="6"/>
  <c r="W330" i="6"/>
  <c r="X330" i="6"/>
  <c r="W329" i="6"/>
  <c r="X329" i="6"/>
  <c r="X325" i="6"/>
  <c r="W325" i="6"/>
  <c r="W332" i="6"/>
  <c r="X332" i="6"/>
  <c r="U330" i="6"/>
  <c r="V330" i="6" s="1"/>
  <c r="U326" i="6"/>
  <c r="V326" i="6" s="1"/>
  <c r="U325" i="6"/>
  <c r="V325" i="6" s="1"/>
  <c r="U324" i="6"/>
  <c r="V324" i="6" s="1"/>
  <c r="U327" i="6"/>
  <c r="V327" i="6" s="1"/>
  <c r="X326" i="6"/>
  <c r="W326" i="6"/>
  <c r="X322" i="6"/>
  <c r="W322" i="6"/>
  <c r="D140" i="6"/>
  <c r="D168" i="6" s="1"/>
  <c r="E140" i="6"/>
  <c r="E168" i="6" s="1"/>
  <c r="F140" i="6"/>
  <c r="F168" i="6" s="1"/>
  <c r="G140" i="6"/>
  <c r="G168" i="6" s="1"/>
  <c r="H140" i="6"/>
  <c r="H168" i="6" s="1"/>
  <c r="C140" i="6"/>
  <c r="C168" i="6" s="1"/>
  <c r="X323" i="6"/>
  <c r="W323" i="6"/>
  <c r="W327" i="6"/>
  <c r="X327" i="6"/>
  <c r="W331" i="6"/>
  <c r="X331" i="6"/>
  <c r="P328" i="6"/>
  <c r="P326" i="6"/>
  <c r="P332" i="6"/>
  <c r="P330" i="6"/>
  <c r="P329" i="6"/>
  <c r="P331" i="6"/>
  <c r="P327" i="6"/>
  <c r="V322" i="6" l="1"/>
  <c r="P323" i="6"/>
  <c r="P324" i="6"/>
  <c r="P322" i="6"/>
  <c r="Q321" i="6"/>
  <c r="C127" i="6" l="1" a="1"/>
  <c r="R321" i="6"/>
  <c r="O347" i="6" s="1" a="1"/>
  <c r="O356" i="6" l="1"/>
  <c r="O357" i="6"/>
  <c r="O347" i="6"/>
  <c r="O354" i="6"/>
  <c r="O349" i="6"/>
  <c r="O358" i="6"/>
  <c r="O352" i="6"/>
  <c r="O353" i="6"/>
  <c r="O348" i="6"/>
  <c r="O350" i="6"/>
  <c r="O351" i="6"/>
  <c r="O355" i="6"/>
  <c r="C127" i="6"/>
  <c r="C155" i="6" s="1"/>
  <c r="E127" i="6"/>
  <c r="E155" i="6" s="1"/>
  <c r="D127" i="6"/>
  <c r="D155" i="6" s="1"/>
  <c r="G127" i="6"/>
  <c r="G155" i="6" s="1"/>
  <c r="F127" i="6"/>
  <c r="F155" i="6" s="1"/>
  <c r="H127" i="6"/>
  <c r="H155" i="6" s="1"/>
  <c r="T348" i="6" l="1"/>
  <c r="Q348" i="6"/>
  <c r="R348" i="6" s="1"/>
  <c r="Q349" i="6"/>
  <c r="R349" i="6" s="1"/>
  <c r="T349" i="6"/>
  <c r="Q356" i="6"/>
  <c r="R356" i="6" s="1"/>
  <c r="T356" i="6"/>
  <c r="T355" i="6"/>
  <c r="Q355" i="6"/>
  <c r="R355" i="6" s="1"/>
  <c r="Q353" i="6"/>
  <c r="T353" i="6"/>
  <c r="Q354" i="6"/>
  <c r="R354" i="6" s="1"/>
  <c r="T354" i="6"/>
  <c r="Q351" i="6"/>
  <c r="R351" i="6" s="1"/>
  <c r="T351" i="6"/>
  <c r="P351" i="6" s="1"/>
  <c r="T352" i="6"/>
  <c r="Q352" i="6"/>
  <c r="R352" i="6" s="1"/>
  <c r="T347" i="6"/>
  <c r="T350" i="6"/>
  <c r="Q350" i="6"/>
  <c r="R350" i="6" s="1"/>
  <c r="Q358" i="6"/>
  <c r="R358" i="6" s="1"/>
  <c r="T358" i="6"/>
  <c r="T357" i="6"/>
  <c r="Q357" i="6"/>
  <c r="R357" i="6" s="1"/>
  <c r="S350" i="6" l="1" a="1"/>
  <c r="S350" i="6" s="1"/>
  <c r="S349" i="6" a="1"/>
  <c r="S349" i="6" s="1"/>
  <c r="S357" i="6" a="1"/>
  <c r="S357" i="6" s="1"/>
  <c r="S352" i="6" a="1"/>
  <c r="S352" i="6" s="1"/>
  <c r="S356" i="6" a="1"/>
  <c r="S356" i="6" s="1"/>
  <c r="S354" i="6" a="1"/>
  <c r="S354" i="6" s="1"/>
  <c r="S351" i="6" a="1"/>
  <c r="S351" i="6" s="1"/>
  <c r="S353" i="6" a="1"/>
  <c r="S353" i="6" s="1"/>
  <c r="S348" i="6" a="1"/>
  <c r="S348" i="6" s="1"/>
  <c r="S358" i="6" a="1"/>
  <c r="S358" i="6" s="1"/>
  <c r="S347" i="6" a="1"/>
  <c r="S347" i="6" s="1"/>
  <c r="S355" i="6" a="1"/>
  <c r="S355" i="6" s="1"/>
  <c r="P347" i="6"/>
  <c r="C141" i="6" a="1"/>
  <c r="R353" i="6"/>
  <c r="X348" i="6" l="1"/>
  <c r="W348" i="6"/>
  <c r="W355" i="6"/>
  <c r="X355" i="6"/>
  <c r="W353" i="6"/>
  <c r="X353" i="6"/>
  <c r="X352" i="6"/>
  <c r="W352" i="6"/>
  <c r="U355" i="6"/>
  <c r="V355" i="6" s="1"/>
  <c r="X347" i="6"/>
  <c r="U349" i="6"/>
  <c r="V349" i="6" s="1"/>
  <c r="U352" i="6"/>
  <c r="V352" i="6" s="1"/>
  <c r="U347" i="6"/>
  <c r="V347" i="6" s="1"/>
  <c r="U357" i="6"/>
  <c r="V357" i="6" s="1"/>
  <c r="U356" i="6"/>
  <c r="V356" i="6" s="1"/>
  <c r="U351" i="6"/>
  <c r="V351" i="6" s="1"/>
  <c r="U354" i="6"/>
  <c r="V354" i="6" s="1"/>
  <c r="U353" i="6"/>
  <c r="V353" i="6" s="1"/>
  <c r="W347" i="6"/>
  <c r="U348" i="6"/>
  <c r="V348" i="6" s="1"/>
  <c r="U350" i="6"/>
  <c r="V350" i="6" s="1"/>
  <c r="U358" i="6"/>
  <c r="V358" i="6" s="1"/>
  <c r="W351" i="6"/>
  <c r="X351" i="6"/>
  <c r="W357" i="6"/>
  <c r="X357" i="6"/>
  <c r="G141" i="6"/>
  <c r="G169" i="6" s="1"/>
  <c r="D141" i="6"/>
  <c r="D169" i="6" s="1"/>
  <c r="H141" i="6"/>
  <c r="H169" i="6" s="1"/>
  <c r="C141" i="6"/>
  <c r="C169" i="6" s="1"/>
  <c r="E141" i="6"/>
  <c r="E169" i="6" s="1"/>
  <c r="F141" i="6"/>
  <c r="F169" i="6" s="1"/>
  <c r="W358" i="6"/>
  <c r="X358" i="6"/>
  <c r="W354" i="6"/>
  <c r="X354" i="6"/>
  <c r="X349" i="6"/>
  <c r="W349" i="6"/>
  <c r="W356" i="6"/>
  <c r="X356" i="6"/>
  <c r="W350" i="6"/>
  <c r="X350" i="6"/>
  <c r="P348" i="6"/>
  <c r="P357" i="6"/>
  <c r="P349" i="6"/>
  <c r="P355" i="6"/>
  <c r="P356" i="6"/>
  <c r="P354" i="6"/>
  <c r="Q347" i="6"/>
  <c r="P353" i="6"/>
  <c r="P358" i="6"/>
  <c r="P350" i="6"/>
  <c r="P352" i="6"/>
  <c r="C128" i="6" l="1" a="1"/>
  <c r="R347" i="6"/>
  <c r="O373" i="6" s="1" a="1"/>
  <c r="F128" i="6" l="1"/>
  <c r="F156" i="6" s="1"/>
  <c r="D128" i="6"/>
  <c r="D156" i="6" s="1"/>
  <c r="C128" i="6"/>
  <c r="C156" i="6" s="1"/>
  <c r="E128" i="6"/>
  <c r="E156" i="6" s="1"/>
  <c r="G128" i="6"/>
  <c r="G156" i="6" s="1"/>
  <c r="H128" i="6"/>
  <c r="H156" i="6" s="1"/>
  <c r="O384" i="6"/>
  <c r="O375" i="6"/>
  <c r="O376" i="6"/>
  <c r="O379" i="6"/>
  <c r="O374" i="6"/>
  <c r="O378" i="6"/>
  <c r="O382" i="6"/>
  <c r="O373" i="6"/>
  <c r="T373" i="6" s="1"/>
  <c r="P373" i="6" s="1"/>
  <c r="O383" i="6"/>
  <c r="O380" i="6"/>
  <c r="O381" i="6"/>
  <c r="O377" i="6"/>
  <c r="Q381" i="6" l="1"/>
  <c r="R381" i="6" s="1"/>
  <c r="T381" i="6"/>
  <c r="Q382" i="6"/>
  <c r="R382" i="6" s="1"/>
  <c r="T382" i="6"/>
  <c r="Q376" i="6"/>
  <c r="R376" i="6" s="1"/>
  <c r="T376" i="6"/>
  <c r="Q380" i="6"/>
  <c r="R380" i="6" s="1"/>
  <c r="T380" i="6"/>
  <c r="T378" i="6"/>
  <c r="Q378" i="6"/>
  <c r="R378" i="6" s="1"/>
  <c r="Q375" i="6"/>
  <c r="R375" i="6" s="1"/>
  <c r="T375" i="6"/>
  <c r="T383" i="6"/>
  <c r="Q383" i="6"/>
  <c r="R383" i="6" s="1"/>
  <c r="T374" i="6"/>
  <c r="Q374" i="6"/>
  <c r="R374" i="6" s="1"/>
  <c r="Q384" i="6"/>
  <c r="R384" i="6" s="1"/>
  <c r="T384" i="6"/>
  <c r="T377" i="6"/>
  <c r="P377" i="6" s="1"/>
  <c r="Q377" i="6"/>
  <c r="R377" i="6" s="1"/>
  <c r="S373" i="6" a="1"/>
  <c r="S373" i="6" s="1"/>
  <c r="T379" i="6"/>
  <c r="Q379" i="6"/>
  <c r="S383" i="6" l="1" a="1"/>
  <c r="S383" i="6" s="1"/>
  <c r="X383" i="6" s="1"/>
  <c r="S376" i="6" a="1"/>
  <c r="S376" i="6" s="1"/>
  <c r="X376" i="6" s="1"/>
  <c r="S378" i="6" a="1"/>
  <c r="S378" i="6" s="1"/>
  <c r="X378" i="6" s="1"/>
  <c r="S384" i="6" a="1"/>
  <c r="S384" i="6" s="1"/>
  <c r="X384" i="6" s="1"/>
  <c r="C142" i="6" a="1"/>
  <c r="R379" i="6"/>
  <c r="S381" i="6" a="1"/>
  <c r="S381" i="6" s="1"/>
  <c r="S374" i="6" a="1"/>
  <c r="S374" i="6" s="1"/>
  <c r="S377" i="6" a="1"/>
  <c r="S377" i="6" s="1"/>
  <c r="S375" i="6" a="1"/>
  <c r="S375" i="6" s="1"/>
  <c r="S380" i="6" a="1"/>
  <c r="S380" i="6" s="1"/>
  <c r="S382" i="6" a="1"/>
  <c r="S382" i="6" s="1"/>
  <c r="X373" i="6"/>
  <c r="W373" i="6"/>
  <c r="U373" i="6"/>
  <c r="V373" i="6" s="1"/>
  <c r="S379" i="6" a="1"/>
  <c r="S379" i="6" s="1"/>
  <c r="P64" i="6"/>
  <c r="P275" i="6"/>
  <c r="P277" i="6"/>
  <c r="P276" i="6"/>
  <c r="P168" i="6"/>
  <c r="P274" i="6"/>
  <c r="P279" i="6"/>
  <c r="P278" i="6"/>
  <c r="P90" i="6"/>
  <c r="P63" i="6"/>
  <c r="W383" i="6" l="1"/>
  <c r="W376" i="6"/>
  <c r="W384" i="6"/>
  <c r="U375" i="6"/>
  <c r="V375" i="6" s="1"/>
  <c r="U374" i="6"/>
  <c r="U382" i="6"/>
  <c r="V382" i="6" s="1"/>
  <c r="W378" i="6"/>
  <c r="U376" i="6"/>
  <c r="V376" i="6" s="1"/>
  <c r="W374" i="6"/>
  <c r="X374" i="6"/>
  <c r="X379" i="6"/>
  <c r="W379" i="6"/>
  <c r="U378" i="6"/>
  <c r="V378" i="6" s="1"/>
  <c r="U381" i="6"/>
  <c r="V381" i="6" s="1"/>
  <c r="U379" i="6"/>
  <c r="V379" i="6" s="1"/>
  <c r="X381" i="6"/>
  <c r="W381" i="6"/>
  <c r="U377" i="6"/>
  <c r="V377" i="6" s="1"/>
  <c r="U380" i="6"/>
  <c r="V380" i="6" s="1"/>
  <c r="U384" i="6"/>
  <c r="V384" i="6" s="1"/>
  <c r="X382" i="6"/>
  <c r="W382" i="6"/>
  <c r="W375" i="6"/>
  <c r="X375" i="6"/>
  <c r="U383" i="6"/>
  <c r="V383" i="6" s="1"/>
  <c r="W380" i="6"/>
  <c r="X380" i="6"/>
  <c r="W377" i="6"/>
  <c r="X377" i="6"/>
  <c r="F142" i="6"/>
  <c r="F170" i="6" s="1"/>
  <c r="H142" i="6"/>
  <c r="H170" i="6" s="1"/>
  <c r="C142" i="6"/>
  <c r="C170" i="6" s="1"/>
  <c r="E142" i="6"/>
  <c r="E170" i="6" s="1"/>
  <c r="G142" i="6"/>
  <c r="G170" i="6" s="1"/>
  <c r="D142" i="6"/>
  <c r="D170" i="6" s="1"/>
  <c r="P382" i="6"/>
  <c r="P381" i="6"/>
  <c r="P378" i="6"/>
  <c r="P380" i="6"/>
  <c r="P379" i="6"/>
  <c r="V374" i="6" l="1"/>
  <c r="P375" i="6"/>
  <c r="P374" i="6"/>
  <c r="P376" i="6"/>
  <c r="P303" i="6"/>
  <c r="Q373" i="6"/>
  <c r="C129" i="6" l="1" a="1"/>
  <c r="R373" i="6"/>
  <c r="G129" i="6" l="1"/>
  <c r="G157" i="6" s="1"/>
  <c r="H129" i="6"/>
  <c r="H157" i="6" s="1"/>
  <c r="E129" i="6"/>
  <c r="E157" i="6" s="1"/>
  <c r="C129" i="6"/>
  <c r="C157" i="6" s="1"/>
  <c r="F129" i="6"/>
  <c r="F157" i="6" s="1"/>
  <c r="D129" i="6"/>
  <c r="D157" i="6" s="1"/>
  <c r="P15" i="6"/>
  <c r="AR14" i="6"/>
  <c r="P18" i="6"/>
  <c r="BC11" i="6"/>
  <c r="P16" i="6"/>
  <c r="P144" i="6"/>
  <c r="P384" i="6"/>
  <c r="AR9" i="6"/>
  <c r="BC12" i="6"/>
  <c r="P170" i="6"/>
  <c r="P171" i="6"/>
  <c r="P383" i="6"/>
  <c r="P173" i="6"/>
  <c r="P14" i="6"/>
  <c r="AR45" i="6" l="1"/>
  <c r="P17" i="6"/>
  <c r="AR17" i="6"/>
  <c r="AG15" i="6"/>
  <c r="AA101" i="14" l="1" a="1"/>
  <c r="AD101" i="14" a="1"/>
  <c r="X101" i="14" a="1"/>
  <c r="AD101" i="16" a="1"/>
  <c r="X110" i="14" l="1"/>
  <c r="X106" i="14"/>
  <c r="X112" i="14"/>
  <c r="X103" i="14"/>
  <c r="X109" i="14"/>
  <c r="X101" i="14"/>
  <c r="X104" i="14"/>
  <c r="X111" i="14"/>
  <c r="X108" i="14"/>
  <c r="X105" i="14"/>
  <c r="X113" i="14"/>
  <c r="X102" i="14"/>
  <c r="X107" i="14"/>
  <c r="AD113" i="14"/>
  <c r="AD104" i="14"/>
  <c r="AD103" i="14"/>
  <c r="AD101" i="14"/>
  <c r="AD110" i="14"/>
  <c r="AD111" i="14"/>
  <c r="AD112" i="14"/>
  <c r="AD106" i="14"/>
  <c r="AD108" i="14"/>
  <c r="AD107" i="14"/>
  <c r="AD109" i="14"/>
  <c r="AD102" i="14"/>
  <c r="AD105" i="14"/>
  <c r="AD105" i="16"/>
  <c r="AD106" i="16"/>
  <c r="AD111" i="16"/>
  <c r="AD109" i="16"/>
  <c r="AD113" i="16"/>
  <c r="AD107" i="16"/>
  <c r="AD112" i="16"/>
  <c r="AD102" i="16"/>
  <c r="AD101" i="16"/>
  <c r="AD108" i="16"/>
  <c r="AD104" i="16"/>
  <c r="AD103" i="16"/>
  <c r="AD110" i="16"/>
  <c r="AA109" i="14"/>
  <c r="AA101" i="14"/>
  <c r="AA105" i="14"/>
  <c r="AA110" i="14"/>
  <c r="AA108" i="14"/>
  <c r="AA113" i="14"/>
  <c r="AA102" i="14"/>
  <c r="AA104" i="14"/>
  <c r="AA112" i="14"/>
  <c r="AA107" i="14"/>
  <c r="AA111" i="14"/>
  <c r="AA106" i="14"/>
  <c r="AA10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Xavier Irazoqui Oyarzabal</author>
  </authors>
  <commentList>
    <comment ref="F46" authorId="0" shapeId="0" xr:uid="{00000000-0006-0000-0100-000001000000}">
      <text>
        <r>
          <rPr>
            <b/>
            <sz val="9"/>
            <color indexed="81"/>
            <rFont val="Tahoma"/>
            <family val="2"/>
          </rPr>
          <t>Espesor utilizado en ensayo de resistencia a la difusión de vapor</t>
        </r>
      </text>
    </comment>
    <comment ref="G46" authorId="0" shapeId="0" xr:uid="{00000000-0006-0000-0100-000002000000}">
      <text>
        <r>
          <rPr>
            <b/>
            <sz val="9"/>
            <color indexed="81"/>
            <rFont val="Tahoma"/>
            <family val="2"/>
          </rPr>
          <t>Valor de resistencia a la difusión de vapor válido para el espesor indicado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Xavier Irazoqui</author>
  </authors>
  <commentList>
    <comment ref="D4" authorId="0" shapeId="0" xr:uid="{00000000-0006-0000-0400-000001000000}">
      <text>
        <r>
          <rPr>
            <sz val="9"/>
            <color indexed="81"/>
            <rFont val="Tahoma"/>
            <family val="2"/>
          </rPr>
          <t xml:space="preserve">SI("es interior?";"Rsi";SI.ERROR(SI("es tabla NCh?";SI("es cámara?";"buscar Rg";SI("es perfil especial?";SI("dice 'R='?";"extraer valor R";NOD());"buscar valores de perfiles"));"e/lambda");NOD()))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<sst xmlns="http://schemas.openxmlformats.org/spreadsheetml/2006/main" count="3943" uniqueCount="891">
  <si>
    <t>DATOS DE ENTRADA</t>
  </si>
  <si>
    <t>Provincia</t>
  </si>
  <si>
    <t>REGIÓN DEL LIBERTADOR GENERAL BERNARDO O´HIGGINS</t>
  </si>
  <si>
    <t>REGIÓN DEL MAULE</t>
  </si>
  <si>
    <t>REGIÓN DEL BIOBÍO</t>
  </si>
  <si>
    <t>REGIÓN DE LA ARAUCANÍA</t>
  </si>
  <si>
    <t>REGIÓN DE LOS RÍOS</t>
  </si>
  <si>
    <t>REGIÓN DE LOS LAGOS</t>
  </si>
  <si>
    <t>REGIÓN DE AYSÉN DEL GENERAL CARLOS IBAÑEZ DEL CAMPO</t>
  </si>
  <si>
    <t>REGIÓN DE MAGALLANES Y DE LA ANTÁRTICA CHILENA</t>
  </si>
  <si>
    <t>------------------------------------------------------------------------</t>
  </si>
  <si>
    <t>LISTA DE PROVINCIAS POR REGIÓN</t>
  </si>
  <si>
    <t>T° aire interior</t>
  </si>
  <si>
    <t>Dirección de flujo</t>
  </si>
  <si>
    <t>Horizontal</t>
  </si>
  <si>
    <t>Ascendente</t>
  </si>
  <si>
    <t>Descendente</t>
  </si>
  <si>
    <t>HR máx. aceptable en superficie</t>
  </si>
  <si>
    <t>Provincia de Cachapoal</t>
  </si>
  <si>
    <t>Provincia de Colchagua</t>
  </si>
  <si>
    <t>Provincia de Cardenal Caro</t>
  </si>
  <si>
    <t>Provincia de Curicó</t>
  </si>
  <si>
    <t>Provincia de Talca</t>
  </si>
  <si>
    <t>Provincia de Linares</t>
  </si>
  <si>
    <t>Provincia de Cauquenes</t>
  </si>
  <si>
    <t>Rsi</t>
  </si>
  <si>
    <t>T° aire interior, ϴi</t>
  </si>
  <si>
    <t>[m²K/W]</t>
  </si>
  <si>
    <t>μ</t>
  </si>
  <si>
    <t>OSB</t>
  </si>
  <si>
    <t>ISO 10456</t>
  </si>
  <si>
    <t>Asfalto</t>
  </si>
  <si>
    <t>Puro</t>
  </si>
  <si>
    <t>Bitumen</t>
  </si>
  <si>
    <t>Hormigón</t>
  </si>
  <si>
    <t>Densidad media</t>
  </si>
  <si>
    <t>Densidad alta</t>
  </si>
  <si>
    <t>Armado (1% de acero)</t>
  </si>
  <si>
    <t>Armado (2% de acero)</t>
  </si>
  <si>
    <t>Recubrimientos de piso</t>
  </si>
  <si>
    <t>Caucho</t>
  </si>
  <si>
    <t>Plástico</t>
  </si>
  <si>
    <t>caucho celular o plástico sobre radier</t>
  </si>
  <si>
    <t>fieltro sobre radier</t>
  </si>
  <si>
    <t>lana sobre radier</t>
  </si>
  <si>
    <t>corcho sobre radier</t>
  </si>
  <si>
    <t>corcho, palmetas</t>
  </si>
  <si>
    <t>alfombra / recubrimiento textil</t>
  </si>
  <si>
    <t>linóleo</t>
  </si>
  <si>
    <t>Gases</t>
  </si>
  <si>
    <t>aire</t>
  </si>
  <si>
    <t>dióxido de carbono</t>
  </si>
  <si>
    <t>argón</t>
  </si>
  <si>
    <t>Hexafloruro de azufre</t>
  </si>
  <si>
    <t>kriptón</t>
  </si>
  <si>
    <t>xenón</t>
  </si>
  <si>
    <t>Vidrio</t>
  </si>
  <si>
    <t>agua</t>
  </si>
  <si>
    <t>&lt; 200</t>
  </si>
  <si>
    <t>&gt; 400</t>
  </si>
  <si>
    <t>inf</t>
  </si>
  <si>
    <t>hielo a -10 °C</t>
  </si>
  <si>
    <t>hielo a 0 °C</t>
  </si>
  <si>
    <t>nieve, recién caida (&lt; 30 mm)</t>
  </si>
  <si>
    <t>nieve, suave (30 a 70 mm)</t>
  </si>
  <si>
    <t>nieve, levemente compactada (70 a 100 mm)</t>
  </si>
  <si>
    <t>nieve, compactada (&lt; 200 mm)</t>
  </si>
  <si>
    <t>agua a 10 °C</t>
  </si>
  <si>
    <t>agua a 40 °C</t>
  </si>
  <si>
    <t>agua a 80 °C</t>
  </si>
  <si>
    <t>metales</t>
  </si>
  <si>
    <t>-</t>
  </si>
  <si>
    <t>suelos</t>
  </si>
  <si>
    <t>rocas</t>
  </si>
  <si>
    <t>Tejas</t>
  </si>
  <si>
    <t>madera</t>
  </si>
  <si>
    <t>Natural, roca cristalina</t>
  </si>
  <si>
    <t>Natural, roca sedimentaria</t>
  </si>
  <si>
    <t>Arcilla</t>
  </si>
  <si>
    <t>concreto</t>
  </si>
  <si>
    <t>cerámica/porcelana</t>
  </si>
  <si>
    <t>Plástica</t>
  </si>
  <si>
    <t>Contrachapada</t>
  </si>
  <si>
    <t>aglomerada</t>
  </si>
  <si>
    <t>Espuma de polietileno</t>
  </si>
  <si>
    <t>espuma de poliuretano (PU)</t>
  </si>
  <si>
    <t>espuma elastomérica, flexible</t>
  </si>
  <si>
    <t>uretano/poliuretano (quiebre térmico)</t>
  </si>
  <si>
    <t>Espuma de silicona</t>
  </si>
  <si>
    <t>Gel de sílice (desecante)</t>
  </si>
  <si>
    <t>Silicona, pura</t>
  </si>
  <si>
    <t>Silicona, rellena</t>
  </si>
  <si>
    <t>60-80</t>
  </si>
  <si>
    <t>1200-1800</t>
  </si>
  <si>
    <t>1670-2500</t>
  </si>
  <si>
    <t>1700-2200</t>
  </si>
  <si>
    <t>910-1180</t>
  </si>
  <si>
    <t>2700-3000</t>
  </si>
  <si>
    <t>2400-2700</t>
  </si>
  <si>
    <t>2500-2700</t>
  </si>
  <si>
    <t>2000-2800</t>
  </si>
  <si>
    <t>NCh 1973</t>
  </si>
  <si>
    <r>
      <t>Permeabilidad al vapor de agua del aire, δ</t>
    </r>
    <r>
      <rPr>
        <b/>
        <vertAlign val="subscript"/>
        <sz val="11"/>
        <color theme="1"/>
        <rFont val="Calibri"/>
        <family val="2"/>
        <scheme val="minor"/>
      </rPr>
      <t>0</t>
    </r>
    <r>
      <rPr>
        <b/>
        <sz val="11"/>
        <color theme="1"/>
        <rFont val="Calibri"/>
        <family val="2"/>
        <scheme val="minor"/>
      </rPr>
      <t>, [Kg/msPa]</t>
    </r>
  </si>
  <si>
    <t>Exterior</t>
  </si>
  <si>
    <t>Interior</t>
  </si>
  <si>
    <t>Rse</t>
  </si>
  <si>
    <t>Superficie exterior</t>
  </si>
  <si>
    <t>---</t>
  </si>
  <si>
    <t>P_sat_e</t>
  </si>
  <si>
    <t>P_sat_i</t>
  </si>
  <si>
    <t>Interfase</t>
  </si>
  <si>
    <t>Superficie interior</t>
  </si>
  <si>
    <t>""</t>
  </si>
  <si>
    <t>ϕsicr</t>
  </si>
  <si>
    <t>d</t>
  </si>
  <si>
    <t>R</t>
  </si>
  <si>
    <t>d_acum</t>
  </si>
  <si>
    <t>R'n</t>
  </si>
  <si>
    <t>Sd</t>
  </si>
  <si>
    <t>S'd</t>
  </si>
  <si>
    <t>ϴ'n</t>
  </si>
  <si>
    <t>P_sat</t>
  </si>
  <si>
    <r>
      <t>R</t>
    </r>
    <r>
      <rPr>
        <b/>
        <vertAlign val="subscript"/>
        <sz val="11"/>
        <color theme="1"/>
        <rFont val="Calibri"/>
        <family val="2"/>
        <scheme val="minor"/>
      </rPr>
      <t>T,mín</t>
    </r>
  </si>
  <si>
    <r>
      <t>R</t>
    </r>
    <r>
      <rPr>
        <b/>
        <vertAlign val="subscript"/>
        <sz val="11"/>
        <color theme="1"/>
        <rFont val="Calibri"/>
        <family val="2"/>
        <scheme val="minor"/>
      </rPr>
      <t>T</t>
    </r>
  </si>
  <si>
    <r>
      <t>S</t>
    </r>
    <r>
      <rPr>
        <b/>
        <vertAlign val="subscript"/>
        <sz val="11"/>
        <color theme="1"/>
        <rFont val="Calibri"/>
        <family val="2"/>
        <scheme val="minor"/>
      </rPr>
      <t>d,T</t>
    </r>
  </si>
  <si>
    <r>
      <t>P</t>
    </r>
    <r>
      <rPr>
        <b/>
        <vertAlign val="subscript"/>
        <sz val="11"/>
        <color theme="1"/>
        <rFont val="Calibri"/>
        <family val="2"/>
        <scheme val="minor"/>
      </rPr>
      <t>sat(ϴsi)</t>
    </r>
  </si>
  <si>
    <r>
      <t>ϴ</t>
    </r>
    <r>
      <rPr>
        <b/>
        <vertAlign val="subscript"/>
        <sz val="11"/>
        <color theme="1"/>
        <rFont val="Calibri"/>
        <family val="2"/>
        <scheme val="minor"/>
      </rPr>
      <t>si,min</t>
    </r>
  </si>
  <si>
    <r>
      <t>f</t>
    </r>
    <r>
      <rPr>
        <b/>
        <vertAlign val="subscript"/>
        <sz val="11"/>
        <color theme="1"/>
        <rFont val="Calibri"/>
        <family val="2"/>
        <scheme val="minor"/>
      </rPr>
      <t>Rsi,min</t>
    </r>
  </si>
  <si>
    <t>Conversión permeabilidad</t>
  </si>
  <si>
    <t>i</t>
  </si>
  <si>
    <t>Espesor total de la solución:</t>
  </si>
  <si>
    <t>[mm]</t>
  </si>
  <si>
    <t>Julio</t>
  </si>
  <si>
    <t>Agosto</t>
  </si>
  <si>
    <t>Septiembre</t>
  </si>
  <si>
    <t>Octubre</t>
  </si>
  <si>
    <t>Noviembre</t>
  </si>
  <si>
    <t>Diciembre</t>
  </si>
  <si>
    <t>Enero</t>
  </si>
  <si>
    <t>Febrero</t>
  </si>
  <si>
    <t>Marzo</t>
  </si>
  <si>
    <t>Abril</t>
  </si>
  <si>
    <t>Mayo</t>
  </si>
  <si>
    <t>Junio</t>
  </si>
  <si>
    <t>ϕe:</t>
  </si>
  <si>
    <t>ϴe:</t>
  </si>
  <si>
    <t>P_HR_1</t>
  </si>
  <si>
    <t>Cond_HR_1</t>
  </si>
  <si>
    <t>P_HR_2</t>
  </si>
  <si>
    <t>Cond_HR_2</t>
  </si>
  <si>
    <t>P_HR_3</t>
  </si>
  <si>
    <t>Cond_HR_3</t>
  </si>
  <si>
    <t>P_HR_4</t>
  </si>
  <si>
    <t>Cond_HR_4</t>
  </si>
  <si>
    <t>ϕi_4:</t>
  </si>
  <si>
    <t>HR</t>
  </si>
  <si>
    <t>Pe =</t>
  </si>
  <si>
    <t>Casilla_1</t>
  </si>
  <si>
    <t>Capas</t>
  </si>
  <si>
    <t>Cond. superficial</t>
  </si>
  <si>
    <t>Cond. intersticial</t>
  </si>
  <si>
    <t>g:</t>
  </si>
  <si>
    <t>interf. de cond</t>
  </si>
  <si>
    <t>Pi_HR_1 =</t>
  </si>
  <si>
    <t>Pi_HR_2 =</t>
  </si>
  <si>
    <t>Pi_HR_3 =</t>
  </si>
  <si>
    <t>Pi_HR_4 =</t>
  </si>
  <si>
    <t>P_HR_1_graf</t>
  </si>
  <si>
    <t>m_x</t>
  </si>
  <si>
    <t>m_y</t>
  </si>
  <si>
    <t>tramo m</t>
  </si>
  <si>
    <t>P_HR_2_graf</t>
  </si>
  <si>
    <t>P_HR_3_graf</t>
  </si>
  <si>
    <t>Casilla_corr Caso 1</t>
  </si>
  <si>
    <t>Casilla_corr Caso 2</t>
  </si>
  <si>
    <t>ref_m_y</t>
  </si>
  <si>
    <t>ref_m_x</t>
  </si>
  <si>
    <t>P_HR_4_graf</t>
  </si>
  <si>
    <t>lím tramo</t>
  </si>
  <si>
    <t>mes:</t>
  </si>
  <si>
    <t>d total</t>
  </si>
  <si>
    <t>HR interior, ϕi:</t>
  </si>
  <si>
    <t>Sí</t>
  </si>
  <si>
    <t>No</t>
  </si>
  <si>
    <t>ver_aire</t>
  </si>
  <si>
    <t>SmartPanel</t>
  </si>
  <si>
    <t>PaintPanel</t>
  </si>
  <si>
    <t>Typar</t>
  </si>
  <si>
    <t>Papel Kraft CMPC 126-20-126</t>
  </si>
  <si>
    <t>Papel laminado - Volcan</t>
  </si>
  <si>
    <t>Polietileno</t>
  </si>
  <si>
    <t>Fieltro M-1: 10-40</t>
  </si>
  <si>
    <t>Fieltro M-2: 15-40 (N°15)</t>
  </si>
  <si>
    <t>Tabla A.6 - Permeabilidades al vapor de agua y permeancias al vapor de agua</t>
  </si>
  <si>
    <t>Ladrillo macizo</t>
  </si>
  <si>
    <t>Espesor
[m]</t>
  </si>
  <si>
    <t>INTRODUCCIÓN</t>
  </si>
  <si>
    <t>CRITERIOS Y CONDICIONES PARA EL CÁLCULO</t>
  </si>
  <si>
    <t>El cálculo se realizará bajo las siguientes condiciones:</t>
  </si>
  <si>
    <t>El análisis se realizará en el mes más desfavorable del año, Julio;</t>
  </si>
  <si>
    <t>Se analizará el riesgo de condensación superficial e intersticial;</t>
  </si>
  <si>
    <t>INSTRUCCIONES DE USO PLANILLA</t>
  </si>
  <si>
    <t>Caso 1</t>
  </si>
  <si>
    <t>Caso 2</t>
  </si>
  <si>
    <t>INFORMACIÓN GENERAL</t>
  </si>
  <si>
    <t>Dirección:</t>
  </si>
  <si>
    <t>Propietario:</t>
  </si>
  <si>
    <t>Comuna:</t>
  </si>
  <si>
    <t>Profesional Competente:</t>
  </si>
  <si>
    <t>RUT:</t>
  </si>
  <si>
    <t>PDA:</t>
  </si>
  <si>
    <t>P HR_1</t>
  </si>
  <si>
    <t>P HR_2</t>
  </si>
  <si>
    <t>P HR_3</t>
  </si>
  <si>
    <t>P HR_4</t>
  </si>
  <si>
    <t>int_cond_HR_4</t>
  </si>
  <si>
    <t>int_cond_HR_3</t>
  </si>
  <si>
    <t>int_cond_HR_2</t>
  </si>
  <si>
    <t>condensación</t>
  </si>
  <si>
    <t>Leyenda:</t>
  </si>
  <si>
    <t>Presión de vapor de saturación:</t>
  </si>
  <si>
    <t>Fecha:</t>
  </si>
  <si>
    <t>Firma profesional competente:</t>
  </si>
  <si>
    <t>CONCLUSIÓN</t>
  </si>
  <si>
    <r>
      <t>Resistencia térmica total, R</t>
    </r>
    <r>
      <rPr>
        <b/>
        <vertAlign val="subscript"/>
        <sz val="12"/>
        <color theme="1"/>
        <rFont val="Calibri"/>
        <family val="2"/>
        <scheme val="minor"/>
      </rPr>
      <t>T</t>
    </r>
    <r>
      <rPr>
        <b/>
        <sz val="12"/>
        <color theme="1"/>
        <rFont val="Calibri"/>
        <family val="2"/>
        <scheme val="minor"/>
      </rPr>
      <t>:</t>
    </r>
  </si>
  <si>
    <t>Condiciones exteriores:</t>
  </si>
  <si>
    <t>Condiciones interiores:</t>
  </si>
  <si>
    <t>HR int. de inspección, ϕi:</t>
  </si>
  <si>
    <t>HR máx. aceptable, ϕsicr:</t>
  </si>
  <si>
    <t>Versión de la planilla</t>
  </si>
  <si>
    <t>Presión de vapor, según HR:</t>
  </si>
  <si>
    <t>caso 1</t>
  </si>
  <si>
    <t>sup</t>
  </si>
  <si>
    <t>inter</t>
  </si>
  <si>
    <t>mejora?</t>
  </si>
  <si>
    <t>caso 2</t>
  </si>
  <si>
    <t>PDA</t>
  </si>
  <si>
    <t>Coyaique</t>
  </si>
  <si>
    <t>Osorno</t>
  </si>
  <si>
    <t>Talca - Maule</t>
  </si>
  <si>
    <t>Temuco - Padre las Casas</t>
  </si>
  <si>
    <t>Chillán - Chillán Viejo</t>
  </si>
  <si>
    <t>O'Higgins</t>
  </si>
  <si>
    <t>Valdivia</t>
  </si>
  <si>
    <t>Los Ángeles</t>
  </si>
  <si>
    <t>Gran Concepción</t>
  </si>
  <si>
    <t>Curicó - Teno</t>
  </si>
  <si>
    <t>Ubicación del proyecto:</t>
  </si>
  <si>
    <t>Provincia de Chacabuco</t>
  </si>
  <si>
    <t>Provincia de Cordillera</t>
  </si>
  <si>
    <t>Provincia de Maipo</t>
  </si>
  <si>
    <t>Provincia de Melipilla</t>
  </si>
  <si>
    <t>Provincia de Santiago</t>
  </si>
  <si>
    <t>Provincia de Talagante</t>
  </si>
  <si>
    <t>REGIÓN METROPOLITANA</t>
  </si>
  <si>
    <t>Dirección de flujo:</t>
  </si>
  <si>
    <t>CASO BASE</t>
  </si>
  <si>
    <t>CASO PROYECTADO</t>
  </si>
  <si>
    <t>DISMINUYE</t>
  </si>
  <si>
    <t>NO DISMINUYE</t>
  </si>
  <si>
    <t>SUPERFICIAL</t>
  </si>
  <si>
    <t>INTERSTICIAL</t>
  </si>
  <si>
    <t xml:space="preserve">Las soluciones constructivas del caso base y del caso proyectado no presentan riesgo de condensación </t>
  </si>
  <si>
    <t>La solución constructiva del caso proyectado</t>
  </si>
  <si>
    <t>el riesgo de condensación</t>
  </si>
  <si>
    <t>ϴ'n,pr</t>
  </si>
  <si>
    <t>gc</t>
  </si>
  <si>
    <t>ϕi_1:</t>
  </si>
  <si>
    <t>ϕi_2:</t>
  </si>
  <si>
    <t>ϕi_3:</t>
  </si>
  <si>
    <t>ϴ'n_pr_1</t>
  </si>
  <si>
    <t>ϴ'n_pr_2</t>
  </si>
  <si>
    <t>ϴ'n_pr_3</t>
  </si>
  <si>
    <t>ϴ'n_pr_4</t>
  </si>
  <si>
    <t>RESULTADOS</t>
  </si>
  <si>
    <t>ϴi:</t>
  </si>
  <si>
    <t>Condensación superficial:</t>
  </si>
  <si>
    <t>Condensación intersticial:</t>
  </si>
  <si>
    <t>φsicr</t>
  </si>
  <si>
    <r>
      <t>Res. Térmica total mín, R</t>
    </r>
    <r>
      <rPr>
        <b/>
        <vertAlign val="subscript"/>
        <sz val="11"/>
        <color theme="1"/>
        <rFont val="Calibri"/>
        <family val="2"/>
        <scheme val="minor"/>
      </rPr>
      <t>T,mín</t>
    </r>
  </si>
  <si>
    <t>N° Interfaces condensación:</t>
  </si>
  <si>
    <t>Detalle de interfases con condensación:</t>
  </si>
  <si>
    <t>CASILLA C1</t>
  </si>
  <si>
    <t>CASO 1</t>
  </si>
  <si>
    <t>CASO 2</t>
  </si>
  <si>
    <t>Temperatura de rocío, según HR:</t>
  </si>
  <si>
    <t>Temperatura intersticial:</t>
  </si>
  <si>
    <t>Casilla_2</t>
  </si>
  <si>
    <r>
      <rPr>
        <b/>
        <sz val="11"/>
        <color theme="1"/>
        <rFont val="Calibri"/>
        <family val="2"/>
        <scheme val="minor"/>
      </rPr>
      <t>NOTA</t>
    </r>
    <r>
      <rPr>
        <sz val="11"/>
        <color theme="1"/>
        <rFont val="Calibri"/>
        <family val="2"/>
        <scheme val="minor"/>
      </rPr>
      <t>: CASO PROYECTADO utiliza los datos climáticos y de flujo de CASO BASE</t>
    </r>
  </si>
  <si>
    <t>PDA Sección1 - CASO 1</t>
  </si>
  <si>
    <t>PDA Sección2 - CASO 1</t>
  </si>
  <si>
    <t>PDA Sección2 - CASO 2</t>
  </si>
  <si>
    <t>PDA Sección1 - CASO 2</t>
  </si>
  <si>
    <t>RT Sección1</t>
  </si>
  <si>
    <t>RT - Sección2</t>
  </si>
  <si>
    <t>Acrílico</t>
  </si>
  <si>
    <t>Policarbonato</t>
  </si>
  <si>
    <t>Politetrafluoretileno (PTFE)</t>
  </si>
  <si>
    <t>Policloruro de vinilo (PVC)</t>
  </si>
  <si>
    <t>Polimetilmetacrilato (PMMA)</t>
  </si>
  <si>
    <t>Poliacetato</t>
  </si>
  <si>
    <t>Poliamida (nylon)</t>
  </si>
  <si>
    <t>Poliamida 6,6 con 25% fibra de vidrio</t>
  </si>
  <si>
    <t>Polietileno/polietano, alta densidad</t>
  </si>
  <si>
    <t>Polietileno/polietano, baja densidad</t>
  </si>
  <si>
    <t>Poliestireno</t>
  </si>
  <si>
    <t>Polipropileno</t>
  </si>
  <si>
    <t>Polipropileno con 25% fibra de vidrio</t>
  </si>
  <si>
    <t>Poliuretano (PU)</t>
  </si>
  <si>
    <t>Resina epóxica</t>
  </si>
  <si>
    <t>Resina fenólica</t>
  </si>
  <si>
    <t>Resina poliéster</t>
  </si>
  <si>
    <t>Natural</t>
  </si>
  <si>
    <t>Neopreno (policloropreno)</t>
  </si>
  <si>
    <t>Butilo, (isobutano), sólido/caliente derretido</t>
  </si>
  <si>
    <t>Espuma de caucho</t>
  </si>
  <si>
    <t>Caucho duro (ebonita), sólido</t>
  </si>
  <si>
    <t>Poliisobutileno</t>
  </si>
  <si>
    <t>Polisulfuro</t>
  </si>
  <si>
    <t>Butadieno</t>
  </si>
  <si>
    <t>Tabla 3 - Valores térmicos de diseño para materiales en aplicaciones generales de la edificación</t>
  </si>
  <si>
    <t>Aleaciones de aluminio</t>
  </si>
  <si>
    <t>Bronce</t>
  </si>
  <si>
    <t>Latón</t>
  </si>
  <si>
    <t>Cobre</t>
  </si>
  <si>
    <t>Hierro, hierro fundido</t>
  </si>
  <si>
    <t>Plomo</t>
  </si>
  <si>
    <t>Acero</t>
  </si>
  <si>
    <t>Acero inoxidable</t>
  </si>
  <si>
    <t>Zinc</t>
  </si>
  <si>
    <t>Yeso</t>
  </si>
  <si>
    <t>Yeso cartón</t>
  </si>
  <si>
    <t>Enlucidos</t>
  </si>
  <si>
    <t>Enlucido de yeso aislante</t>
  </si>
  <si>
    <t>Enlucido de yeso</t>
  </si>
  <si>
    <t>Yeso, arena</t>
  </si>
  <si>
    <t>Cal, arena</t>
  </si>
  <si>
    <t>Cemento, arena</t>
  </si>
  <si>
    <t>Arena y grava</t>
  </si>
  <si>
    <t>Arcilla o sedimentos</t>
  </si>
  <si>
    <t>Natural, roca sedimentaria, liviana</t>
  </si>
  <si>
    <t>Natural, porosa, por ej. lava</t>
  </si>
  <si>
    <t>Basalto</t>
  </si>
  <si>
    <t>Gneis</t>
  </si>
  <si>
    <t>Granito</t>
  </si>
  <si>
    <t>Mármol</t>
  </si>
  <si>
    <t>Pizarra</t>
  </si>
  <si>
    <t>Piedra caliza, extra suave</t>
  </si>
  <si>
    <t>Piedra caliza, suave</t>
  </si>
  <si>
    <t>Piedra caliza, semi dura</t>
  </si>
  <si>
    <t>Piedra caliza, dura</t>
  </si>
  <si>
    <t>Piedra caliza, extra dura</t>
  </si>
  <si>
    <t>Roca arenosa (sílice)</t>
  </si>
  <si>
    <t>Piedra pómez natural</t>
  </si>
  <si>
    <t>Piedra artificial</t>
  </si>
  <si>
    <t>Material</t>
  </si>
  <si>
    <t>Poliestireno expandido</t>
  </si>
  <si>
    <t>espuma de poliestireno extruido</t>
  </si>
  <si>
    <t>espuma de poliuretano, rígida</t>
  </si>
  <si>
    <t>lana mineral</t>
  </si>
  <si>
    <t>espuma fenólica</t>
  </si>
  <si>
    <t>vidrio celular</t>
  </si>
  <si>
    <t>tablero de perlita</t>
  </si>
  <si>
    <t>corcho expandido</t>
  </si>
  <si>
    <t>tablero de lana de madera</t>
  </si>
  <si>
    <t>tablero de fibra de madera</t>
  </si>
  <si>
    <t>espuma de urea-formaldehído</t>
  </si>
  <si>
    <t>espuma de poliuretano aplicada en spray</t>
  </si>
  <si>
    <t>relleno suelto de lana mineral</t>
  </si>
  <si>
    <t>relleno suelto de fibra de celulosa</t>
  </si>
  <si>
    <t>relleno suelto de perilta expandida</t>
  </si>
  <si>
    <t>relleno suelto de vermiculita exfoliada</t>
  </si>
  <si>
    <t>relleno suelto de arcilla expandida</t>
  </si>
  <si>
    <t>relleno suelto de perlas de poliestireno expandido</t>
  </si>
  <si>
    <t>barro cocido</t>
  </si>
  <si>
    <t>Tabla 4 (extracto)</t>
  </si>
  <si>
    <t>20-65</t>
  </si>
  <si>
    <t>28-55</t>
  </si>
  <si>
    <t>10-200</t>
  </si>
  <si>
    <t>20-50</t>
  </si>
  <si>
    <t>100-150</t>
  </si>
  <si>
    <t>140-240</t>
  </si>
  <si>
    <t>90-140</t>
  </si>
  <si>
    <t>250-450</t>
  </si>
  <si>
    <t>40-250</t>
  </si>
  <si>
    <t>30-50</t>
  </si>
  <si>
    <t>15-60</t>
  </si>
  <si>
    <t>20-60</t>
  </si>
  <si>
    <t>30-150</t>
  </si>
  <si>
    <t>200-400</t>
  </si>
  <si>
    <t>10-30</t>
  </si>
  <si>
    <t>10-50</t>
  </si>
  <si>
    <t>1000-2400</t>
  </si>
  <si>
    <t>Fieltro/lámina</t>
  </si>
  <si>
    <t>Polietileno 0,15 mm</t>
  </si>
  <si>
    <t>Producto/material</t>
  </si>
  <si>
    <t>Polietileno 0,25 mm</t>
  </si>
  <si>
    <t>Lámina de poliester 0,2 mm</t>
  </si>
  <si>
    <t>Lámina de PVC</t>
  </si>
  <si>
    <t>Lámina de aluminio 0,05 mm</t>
  </si>
  <si>
    <t>Lámina de PE 0,15 mm</t>
  </si>
  <si>
    <t>Papel bituminoso 0,1 mm</t>
  </si>
  <si>
    <t>Papel de aluminio 0,4 mm</t>
  </si>
  <si>
    <t>membrana respirable</t>
  </si>
  <si>
    <t>Pintura - emulsión</t>
  </si>
  <si>
    <t>Pintura - gloss</t>
  </si>
  <si>
    <t>Papel mural vinílico</t>
  </si>
  <si>
    <r>
      <t>Espesor de aire equivalente
S</t>
    </r>
    <r>
      <rPr>
        <b/>
        <vertAlign val="subscript"/>
        <sz val="11"/>
        <color theme="1"/>
        <rFont val="Calibri"/>
        <family val="2"/>
        <scheme val="minor"/>
      </rPr>
      <t>d</t>
    </r>
    <r>
      <rPr>
        <b/>
        <sz val="11"/>
        <color theme="1"/>
        <rFont val="Calibri"/>
        <family val="2"/>
        <scheme val="minor"/>
      </rPr>
      <t xml:space="preserve">
m</t>
    </r>
  </si>
  <si>
    <t>Tabla 5 - Difusión de vapor de agua - espesor de aire equivalente</t>
  </si>
  <si>
    <r>
      <t xml:space="preserve">Factor de resistencia al vapor de agua 
</t>
    </r>
    <r>
      <rPr>
        <b/>
        <sz val="11"/>
        <color theme="1"/>
        <rFont val="Calibri"/>
        <family val="2"/>
      </rPr>
      <t>μ 
seco</t>
    </r>
  </si>
  <si>
    <t>Factor de resistencia al vapor de agua 
μ 
húmedo</t>
  </si>
  <si>
    <t>Conductividad térmica de diseño
λ
W/(m∙K)</t>
  </si>
  <si>
    <t>factor de resistencia al vapor de agua
μ
seco</t>
  </si>
  <si>
    <t>factor de resistencia al vapor de agua
μ
húmedo</t>
  </si>
  <si>
    <t>Grupo</t>
  </si>
  <si>
    <t>Materiales o aplicación</t>
  </si>
  <si>
    <t>Baldosas</t>
  </si>
  <si>
    <t>Ensayados - Chile</t>
  </si>
  <si>
    <t>Definidos por el usuario</t>
  </si>
  <si>
    <t>ISO 10456 - Tabla 3</t>
  </si>
  <si>
    <t>ISO 10456 - Tabla 4</t>
  </si>
  <si>
    <t>ISO 10456 - Tabla 5</t>
  </si>
  <si>
    <t>Lista origen materiales</t>
  </si>
  <si>
    <t>[W/m∙K]</t>
  </si>
  <si>
    <t>[m]</t>
  </si>
  <si>
    <t>Nombre para mostrar</t>
  </si>
  <si>
    <r>
      <t>Capacidad calorífica específica
C</t>
    </r>
    <r>
      <rPr>
        <b/>
        <vertAlign val="subscript"/>
        <sz val="11"/>
        <color theme="1"/>
        <rFont val="Calibri"/>
        <family val="2"/>
        <scheme val="minor"/>
      </rPr>
      <t>P</t>
    </r>
    <r>
      <rPr>
        <b/>
        <sz val="11"/>
        <color theme="1"/>
        <rFont val="Calibri"/>
        <family val="2"/>
        <scheme val="minor"/>
      </rPr>
      <t xml:space="preserve">
J/(kg∙K)</t>
    </r>
  </si>
  <si>
    <r>
      <t>Densidad
ρ
kg/m</t>
    </r>
    <r>
      <rPr>
        <b/>
        <vertAlign val="superscript"/>
        <sz val="11"/>
        <color theme="1"/>
        <rFont val="Calibri"/>
        <family val="2"/>
      </rPr>
      <t>³</t>
    </r>
  </si>
  <si>
    <t>Sellantes y otros</t>
  </si>
  <si>
    <t>Fieltro M-3: 15 Libras</t>
  </si>
  <si>
    <t>Factor de resistencia al vapor de agua 
μ</t>
  </si>
  <si>
    <t>Espesor</t>
  </si>
  <si>
    <t>0,82</t>
  </si>
  <si>
    <t>0,11</t>
  </si>
  <si>
    <t>0,05</t>
  </si>
  <si>
    <t>Resistencia cámara de aire no ventilada - flujo horizontal</t>
  </si>
  <si>
    <t>Resistencia cámara de aire no ventilada - flujo ascendente</t>
  </si>
  <si>
    <t>Resistencia cámara de aire no ventilada - flujo descendente</t>
  </si>
  <si>
    <t>0,20</t>
  </si>
  <si>
    <r>
      <t>Mortero cemento 2000 kg/m</t>
    </r>
    <r>
      <rPr>
        <sz val="11"/>
        <color theme="1"/>
        <rFont val="Calibri"/>
        <family val="2"/>
      </rPr>
      <t>³</t>
    </r>
  </si>
  <si>
    <t>Permeabilidad al vapor de agua
δp
[gm/MNs]</t>
  </si>
  <si>
    <t>Permeabilidad al vapor de agua
δp
[Kg/msPa]</t>
  </si>
  <si>
    <t>IRAM 11601 - Tabla A.6</t>
  </si>
  <si>
    <t>Origen de datos</t>
  </si>
  <si>
    <t>Nombre y/o descripción material</t>
  </si>
  <si>
    <t>Lista</t>
  </si>
  <si>
    <t>Densidad
ρ
kg/m³</t>
  </si>
  <si>
    <t>de cal sodada (incluyendo vidrio flotado)</t>
  </si>
  <si>
    <t>de cuarzo</t>
  </si>
  <si>
    <t>mosaico</t>
  </si>
  <si>
    <t>Plásticos</t>
  </si>
  <si>
    <t>Tableros de madera</t>
  </si>
  <si>
    <t>fibras, incluyendo MDF</t>
  </si>
  <si>
    <t>Pino</t>
  </si>
  <si>
    <t>PVC, flexible, con 40% de suavisante</t>
  </si>
  <si>
    <t>EPDM</t>
  </si>
  <si>
    <t>ISO10456_T5[Producto/material]</t>
  </si>
  <si>
    <t>ISO10456_T3[Nombre para mostrar]</t>
  </si>
  <si>
    <t>IRAM11606_TA6[Material]</t>
  </si>
  <si>
    <t>ISO10456_T4[Nombre para mostrar]</t>
  </si>
  <si>
    <t>Ensayados[Material]</t>
  </si>
  <si>
    <t>Usuario[Nombre y/o descripción material]</t>
  </si>
  <si>
    <t>Lista origen</t>
  </si>
  <si>
    <t>Materiales definidos por usuario</t>
  </si>
  <si>
    <r>
      <t>Resistencia térmica
R
m</t>
    </r>
    <r>
      <rPr>
        <b/>
        <sz val="11"/>
        <color theme="1"/>
        <rFont val="Calibri"/>
        <family val="2"/>
      </rPr>
      <t>²</t>
    </r>
    <r>
      <rPr>
        <b/>
        <sz val="11"/>
        <color theme="1"/>
        <rFont val="Calibri"/>
        <family val="2"/>
        <scheme val="minor"/>
      </rPr>
      <t>K/W</t>
    </r>
  </si>
  <si>
    <t>IRAM 11601 (extracto)</t>
  </si>
  <si>
    <t>Cámara de aire no ventilada, E = 0,82</t>
  </si>
  <si>
    <t>Cámara de aire no ventilada, E = 0,20</t>
  </si>
  <si>
    <t>Cámara de aire no ventilada, E = 0,11</t>
  </si>
  <si>
    <t>Cámara de aire no ventilada, E = 0,05</t>
  </si>
  <si>
    <t>NCh_853[Material]</t>
  </si>
  <si>
    <t>NCh 853.Of2007</t>
  </si>
  <si>
    <t>N°</t>
  </si>
  <si>
    <t>Conductividad térmica
λ
W/(m∙K)</t>
  </si>
  <si>
    <t>según NCh 853.Of2007</t>
  </si>
  <si>
    <r>
      <t>Hormigón armado 1800 kg/m</t>
    </r>
    <r>
      <rPr>
        <sz val="11"/>
        <color theme="1"/>
        <rFont val="Calibri"/>
        <family val="2"/>
      </rPr>
      <t>³</t>
    </r>
  </si>
  <si>
    <r>
      <t>Hormigón armado 2000 kg/m</t>
    </r>
    <r>
      <rPr>
        <sz val="11"/>
        <color theme="1"/>
        <rFont val="Calibri"/>
        <family val="2"/>
      </rPr>
      <t>³</t>
    </r>
  </si>
  <si>
    <r>
      <t>Hormigón armado 2200 kg/m</t>
    </r>
    <r>
      <rPr>
        <sz val="11"/>
        <color theme="1"/>
        <rFont val="Calibri"/>
        <family val="2"/>
      </rPr>
      <t>³</t>
    </r>
  </si>
  <si>
    <r>
      <t>Hormigón armado 2400 kg/m</t>
    </r>
    <r>
      <rPr>
        <sz val="11"/>
        <color theme="1"/>
        <rFont val="Calibri"/>
        <family val="2"/>
      </rPr>
      <t>³</t>
    </r>
  </si>
  <si>
    <r>
      <rPr>
        <b/>
        <sz val="11"/>
        <color theme="1"/>
        <rFont val="Calibri"/>
        <family val="2"/>
        <scheme val="minor"/>
      </rPr>
      <t>NOTA</t>
    </r>
    <r>
      <rPr>
        <sz val="11"/>
        <color theme="1"/>
        <rFont val="Calibri"/>
        <family val="2"/>
        <scheme val="minor"/>
      </rPr>
      <t>: Los materiales de esta tabla con una resistencia a la difusión de vapor mayor o igual a 10 MNs/g (en color verde) se consideran como "barrera de vapor". Este atributo es válido sólo para espesores mayores o iguales al indicado en la tabla.</t>
    </r>
  </si>
  <si>
    <t>μ inf</t>
  </si>
  <si>
    <r>
      <t>Resistencia a la difusión de vapor
Z</t>
    </r>
    <r>
      <rPr>
        <b/>
        <vertAlign val="subscript"/>
        <sz val="11"/>
        <color theme="1"/>
        <rFont val="Calibri"/>
        <family val="2"/>
      </rPr>
      <t>p</t>
    </r>
    <r>
      <rPr>
        <b/>
        <sz val="11"/>
        <color theme="1"/>
        <rFont val="Calibri"/>
        <family val="2"/>
      </rPr>
      <t xml:space="preserve">
MNs/g</t>
    </r>
  </si>
  <si>
    <t>Resistividad a la difusión de vapor
msPa/kg</t>
  </si>
  <si>
    <t>Espesor
m</t>
  </si>
  <si>
    <t>Permeabilidad al vapor de agua</t>
  </si>
  <si>
    <t>Factor de resistencia al vapor de agua</t>
  </si>
  <si>
    <t>Permeancia al vapor de agua</t>
  </si>
  <si>
    <t>Resistencia al vapor de agua</t>
  </si>
  <si>
    <t>μ:</t>
  </si>
  <si>
    <t>δp:</t>
  </si>
  <si>
    <t>Wp:</t>
  </si>
  <si>
    <t>Zp:</t>
  </si>
  <si>
    <t>Sd:</t>
  </si>
  <si>
    <t>Espesor de capa de aire equivalente a la difusión de vapor de agua</t>
  </si>
  <si>
    <t>Espesor capa de aire (Sd) [m]</t>
  </si>
  <si>
    <t>Permeabilidad (δp) [kg/msPa]</t>
  </si>
  <si>
    <t>Resistencia (Zp) [MNs/g]</t>
  </si>
  <si>
    <t>Humedad relativa interior</t>
  </si>
  <si>
    <t>Permeancia (Wp) [kg/m²sPa]</t>
  </si>
  <si>
    <t>Resistencia (Zp) [m²sPa/kg]</t>
  </si>
  <si>
    <t>Factor de resistencia (μ)</t>
  </si>
  <si>
    <t>[kg/msPa]</t>
  </si>
  <si>
    <t>[MNs/g]</t>
  </si>
  <si>
    <t>[gm/MNs]</t>
  </si>
  <si>
    <t>conversión a kg/msPa</t>
  </si>
  <si>
    <t>[g/mhmmHg]</t>
  </si>
  <si>
    <t>unidad</t>
  </si>
  <si>
    <t>Conversión resistencia</t>
  </si>
  <si>
    <t>conversión a m²sPa/kg</t>
  </si>
  <si>
    <t>Frase 1</t>
  </si>
  <si>
    <t>condicional 1</t>
  </si>
  <si>
    <t>frase 2</t>
  </si>
  <si>
    <t>frase 3</t>
  </si>
  <si>
    <t>Frase 0</t>
  </si>
  <si>
    <t>δp =</t>
  </si>
  <si>
    <t>→ δp =</t>
  </si>
  <si>
    <t>→ μ =</t>
  </si>
  <si>
    <t>H =</t>
  </si>
  <si>
    <t>L =</t>
  </si>
  <si>
    <t>e' =</t>
  </si>
  <si>
    <t>Calcular resistencia térmica (R) de un perfil metálico, según NCh 853.Of2007</t>
  </si>
  <si>
    <t>Convertir unidades de permeabilidad al vapor de agua (δp)</t>
  </si>
  <si>
    <t>Convertir permeabilidad en factor de resistencia al vapor de agua (μ)</t>
  </si>
  <si>
    <r>
      <rPr>
        <b/>
        <sz val="11"/>
        <color theme="1"/>
        <rFont val="Calibri"/>
        <family val="2"/>
        <scheme val="minor"/>
      </rPr>
      <t>NOTA</t>
    </r>
    <r>
      <rPr>
        <sz val="11"/>
        <color theme="1"/>
        <rFont val="Calibri"/>
        <family val="2"/>
        <scheme val="minor"/>
      </rPr>
      <t>: E = Emisividad, inf = infinito</t>
    </r>
  </si>
  <si>
    <t>Perfiles</t>
  </si>
  <si>
    <t>Dirección de flujo de calor =</t>
  </si>
  <si>
    <t>NCh853.Of2007</t>
  </si>
  <si>
    <t>*R sin Rsi ni Rse</t>
  </si>
  <si>
    <t>Materiales para ingresar a hojas de cálculo</t>
  </si>
  <si>
    <t>Permeabilidad (δp) [g/mhmmHg]</t>
  </si>
  <si>
    <t>μ =</t>
  </si>
  <si>
    <t>δp [kg/msPa] =</t>
  </si>
  <si>
    <t>δp [g/mhmmHg] =</t>
  </si>
  <si>
    <t>Wp [kg/m²sPa] =</t>
  </si>
  <si>
    <t>Zp [m²sPa/kg] =</t>
  </si>
  <si>
    <t>Zp [MNs/g] =</t>
  </si>
  <si>
    <t>Sd [m] =</t>
  </si>
  <si>
    <t>Materiales[Nombre para mostrar]</t>
  </si>
  <si>
    <t>Resistencia térmica, R
m²K/W</t>
  </si>
  <si>
    <t>Perfil acero 38x38x0,85</t>
  </si>
  <si>
    <t>Perfil acero 60x38x0,85</t>
  </si>
  <si>
    <t>Perfil acero 90x38x0,85</t>
  </si>
  <si>
    <t>Valor de la propiedad de difusión de vapor de agua</t>
  </si>
  <si>
    <t>---Hormigón---</t>
  </si>
  <si>
    <t>---Recubrimientos de piso---</t>
  </si>
  <si>
    <t>---Gases---</t>
  </si>
  <si>
    <t>---Agua---</t>
  </si>
  <si>
    <t>---Vidrio---</t>
  </si>
  <si>
    <t>---Metales---</t>
  </si>
  <si>
    <t>partículas aglomeradas con cemento</t>
  </si>
  <si>
    <t>---Plásticos---</t>
  </si>
  <si>
    <t>---Caucho---</t>
  </si>
  <si>
    <t>---Materiales sellantes, impermeabilizantes y otros---</t>
  </si>
  <si>
    <t>---Yeso---</t>
  </si>
  <si>
    <t>---Enlucidos---</t>
  </si>
  <si>
    <t>---Suelos---</t>
  </si>
  <si>
    <t>---Rocas---</t>
  </si>
  <si>
    <t>---Tejas---</t>
  </si>
  <si>
    <t>---Baldosas---</t>
  </si>
  <si>
    <t>---Madera---</t>
  </si>
  <si>
    <t>---Tableros de madera---</t>
  </si>
  <si>
    <t>---Asfalto---</t>
  </si>
  <si>
    <t>---Bitumen---</t>
  </si>
  <si>
    <t>Propiedad de la difusión de vapor de agua y su valor</t>
  </si>
  <si>
    <t>nombre corto C1</t>
  </si>
  <si>
    <t>nombre corto C2</t>
  </si>
  <si>
    <t>propiedad</t>
  </si>
  <si>
    <t>factor conversión</t>
  </si>
  <si>
    <t>abreviación</t>
  </si>
  <si>
    <t xml:space="preserve">μ </t>
  </si>
  <si>
    <t>δp</t>
  </si>
  <si>
    <t>Wp</t>
  </si>
  <si>
    <t>Zp</t>
  </si>
  <si>
    <t>Nombre abreviado para gráficos</t>
  </si>
  <si>
    <t>Conclusión 1</t>
  </si>
  <si>
    <t>Propiedad de la difusión de vapor de agua conocida (elegir una)</t>
  </si>
  <si>
    <t>Perfil acero</t>
  </si>
  <si>
    <r>
      <t xml:space="preserve">***IMPORTANTE*** en caso de requerir incorporar un perfil de acero de dimensiones y/o espesor distintos a los señalados en la tabla "NCh 853.Of2007" de más abajo, en columna ORIGEN DE DATOS seleccione "NCh 853.Of2007", luego en columna MATERIAL Y/O DESCRIPCIÓN seleccione "Perfil acero", en columna ESPESOR ingrese la dimensión mayor de la sección del perfil y en columna CONDUCTIVIDAD ingrese la </t>
    </r>
    <r>
      <rPr>
        <b/>
        <u/>
        <sz val="11"/>
        <color theme="1"/>
        <rFont val="Calibri"/>
        <family val="2"/>
        <scheme val="minor"/>
      </rPr>
      <t>resistencia térmica (R)</t>
    </r>
    <r>
      <rPr>
        <b/>
        <sz val="11"/>
        <color theme="1"/>
        <rFont val="Calibri"/>
        <family val="2"/>
        <scheme val="minor"/>
      </rPr>
      <t xml:space="preserve"> obtenida de la hoja "ANEXO CÁLCULOS" de la forma "R=x,xxx" (sin espacios), por ej: R=0,123.</t>
    </r>
  </si>
  <si>
    <t>*según cálculo usuario*</t>
  </si>
  <si>
    <t>m</t>
  </si>
  <si>
    <t>kg/msPa</t>
  </si>
  <si>
    <t>kg/m²sPa</t>
  </si>
  <si>
    <t>m²sPa/kg</t>
  </si>
  <si>
    <t>MNs/g</t>
  </si>
  <si>
    <t>g/mhmmHg</t>
  </si>
  <si>
    <t>kg/m2s</t>
  </si>
  <si>
    <r>
      <t>Conductividad térmica del perfil, λ</t>
    </r>
    <r>
      <rPr>
        <vertAlign val="subscript"/>
        <sz val="11"/>
        <color theme="1"/>
        <rFont val="Calibri"/>
        <family val="2"/>
        <scheme val="minor"/>
      </rPr>
      <t>m</t>
    </r>
    <r>
      <rPr>
        <sz val="11"/>
        <color theme="1"/>
        <rFont val="Calibri"/>
        <family val="2"/>
        <scheme val="minor"/>
      </rPr>
      <t xml:space="preserve"> =</t>
    </r>
  </si>
  <si>
    <t>Los cálculos que se realizan con esta planilla, corresponden al procedimiento descrito en la NCh1973/2014, con los criterios de cálculo de DITEC utilizando datos climáticos prestablecidos. Esta norma presenta métodos de cálculo simplificados, que consideran que el transporte de humedad es solamente mediante la difusión de vapor.</t>
  </si>
  <si>
    <t>Material y/o descripción</t>
  </si>
  <si>
    <t>BIBLIOTECA DE MATERIALES</t>
  </si>
  <si>
    <t>Rt muro</t>
  </si>
  <si>
    <t>Rt techo</t>
  </si>
  <si>
    <t>Rt piso ventilado</t>
  </si>
  <si>
    <t>Total:</t>
  </si>
  <si>
    <t>Res. Térmica caso base</t>
  </si>
  <si>
    <t>Res. Térmica caso proyectado</t>
  </si>
  <si>
    <t>Puntos de análisis</t>
  </si>
  <si>
    <t>HR Cond.</t>
  </si>
  <si>
    <t>para la sección analizada en las condiciones de temperatura y humedad evaluadas.</t>
  </si>
  <si>
    <t>Sección 1</t>
  </si>
  <si>
    <t>Sección 2</t>
  </si>
  <si>
    <t>Sección 3</t>
  </si>
  <si>
    <t>Sección 4</t>
  </si>
  <si>
    <t>Sección 5</t>
  </si>
  <si>
    <t>Sección 6</t>
  </si>
  <si>
    <t>U</t>
  </si>
  <si>
    <t>[m²]</t>
  </si>
  <si>
    <t>[W/m²K]</t>
  </si>
  <si>
    <t>Sección 7</t>
  </si>
  <si>
    <t>Sección 8</t>
  </si>
  <si>
    <t>Sección 9</t>
  </si>
  <si>
    <t>Sección 10</t>
  </si>
  <si>
    <t>Cálculo de transmitancia térmica ponderada</t>
  </si>
  <si>
    <t>Transmitancia térmica ponderada Ū =</t>
  </si>
  <si>
    <t>Área total considerada , A =</t>
  </si>
  <si>
    <t>Descripción de la sección de análisis de la solución constructiva:</t>
  </si>
  <si>
    <t>Área para otros cálculos</t>
  </si>
  <si>
    <t>B</t>
  </si>
  <si>
    <t>C</t>
  </si>
  <si>
    <t>D</t>
  </si>
  <si>
    <t>E</t>
  </si>
  <si>
    <t>F</t>
  </si>
  <si>
    <t>G</t>
  </si>
  <si>
    <t>H</t>
  </si>
  <si>
    <t>I</t>
  </si>
  <si>
    <t>J</t>
  </si>
  <si>
    <t>K</t>
  </si>
  <si>
    <t>L</t>
  </si>
  <si>
    <t>M</t>
  </si>
  <si>
    <t>Cálculo de transmitancia térmica</t>
  </si>
  <si>
    <t>Espesor
e
 [m]</t>
  </si>
  <si>
    <t>Resistencia térmica
R
[m²K/W]</t>
  </si>
  <si>
    <r>
      <t xml:space="preserve">Conductividad térmica
 </t>
    </r>
    <r>
      <rPr>
        <b/>
        <sz val="11"/>
        <color theme="1"/>
        <rFont val="Calibri"/>
        <family val="2"/>
      </rPr>
      <t>λ</t>
    </r>
    <r>
      <rPr>
        <b/>
        <sz val="11"/>
        <color theme="1"/>
        <rFont val="Calibri"/>
        <family val="2"/>
        <scheme val="minor"/>
      </rPr>
      <t xml:space="preserve">
[W/mK]</t>
    </r>
  </si>
  <si>
    <t>Área
A
 [m²]</t>
  </si>
  <si>
    <t>Transmitancia térmica
U
[W/m²K]</t>
  </si>
  <si>
    <t>a.</t>
  </si>
  <si>
    <t>b.</t>
  </si>
  <si>
    <t>c.</t>
  </si>
  <si>
    <t>d.</t>
  </si>
  <si>
    <t>e.</t>
  </si>
  <si>
    <t>f.</t>
  </si>
  <si>
    <t>g.</t>
  </si>
  <si>
    <t>Temperatura Interior: 19°C;</t>
  </si>
  <si>
    <t>Temperatura Exterior: media mínima mensual (Julio) de la provincia;</t>
  </si>
  <si>
    <t>Humedad Relativa Exterior: asociada a la temperatura media mínima de la provincia;</t>
  </si>
  <si>
    <t>Humedad Relativa Superficial Crítica, ϕsicr: 1 (100%).</t>
  </si>
  <si>
    <t>Humedad Relativa Interior: 65%, 75% y 80%;</t>
  </si>
  <si>
    <t>Como prioridad se utilizarán datos de materiales obtenidos mediante ensayos incluidos en hoja MATERIALES, incluidos en normas chilenas y a falta de los anteriores, de normas extranjeras;</t>
  </si>
  <si>
    <t>Se deberá verificar la disminución del riesgo de condensación superficial e intersticial, comparando los resultados del cálculo de la solución constructiva original y de la solución constructiva proyectada para las condiciones de cálculo de punto 4;</t>
  </si>
  <si>
    <r>
      <t xml:space="preserve">Como mínimo, se debe realizar el análisis de riesgo de condensación a las secciones con </t>
    </r>
    <r>
      <rPr>
        <b/>
        <u/>
        <sz val="12"/>
        <color rgb="FF000000"/>
        <rFont val="Calibri"/>
        <family val="2"/>
        <scheme val="minor"/>
      </rPr>
      <t>menor y mayor resistencia térmica total</t>
    </r>
    <r>
      <rPr>
        <sz val="12"/>
        <color rgb="FF000000"/>
        <rFont val="Calibri"/>
        <family val="2"/>
        <scheme val="minor"/>
      </rPr>
      <t xml:space="preserve"> de la solución constructiva;</t>
    </r>
  </si>
  <si>
    <r>
      <t xml:space="preserve">- La planilla permite analizar un caso base y uno proyectado en hasta dos secciones distintas de una solución constructiva. Las celdas editables son todas aquellas que no tengan fondo blanco.
- Para comenzar, se debe ir a la primera tabla de la hoja MATERIALES y preseleccionar todos los materiales que se usarán para los cálculos. Para ello, por cada material a especificar se debe elegir un origen de datos (tabla) y en la columna NOMBRE Y/O DESCRIPCIÓN seleccionar el material buscado. De manera opcional se puede indicar un nombre abreviado que se mostrará en los gráficos. Por último, se debe indicar el espesor del material y su conductividad térmica. Si estos datos no son ingresados, no se podrá asignar el material en las hojas de cálculo ("Seccion1" y "Seccion2"). Los materiales se deben seleccionar tantas veces como espesores se vayan a utilizar en los cálculos, por ejemplo yeso cartón espesor = 0,01 m y yeso cartón espesor = 0,015 m.
- Es posible agregar materiales nuevos o de uso local a la biblioteca de materiales mediante la tabla "Materiales definidos por usuario", llenando los datos que se indican. Estos materiales podrán ser seleccionados posteriormente en la tabla de más arriba según lo indicado previamente. Todos los datos deben ser ingresados respetando las unidades de medida correspondientes. En caso de requerir ayuda en la conversión de unidades se puede utilizar la hoja ANEXO CÁLCULOS.
- En las hojas Seccion1 y Seccion2 se deben llenar los datos relativos al proyecto y profesional encargado del cálculo. Luego, se debe indicar una breve descripción del sistema constructivo o sección analizada tanto para el caso base como al proyectado. Para efectuar los cálculos es necesario indicar las condiciones climáticas exteriores, las cuales están asociadas a la provincia y la dirección de flujo de calor. En ambas hojas, para el caso proyectado existe una casilla de verificación que permite utilizar los mismos datos de temperatura y humedad que hayan sido elegidos para el caso base. Si se desmarca esta casilla, se puede elegir una provincia o una dirección de flujo diferentes.
- En el apartado de materiales que componen la solución constructiva se deben abrir la lista desplegable y seleccionar los materiales que correspondan, ordenados desde el exterior al interior, comenzando en la primera fila y sin dejar espacios en blanco entremedio. Al ir completando la información, se puede observar de forma inmediata el espesor y la resistencia térmica total (incluyendo las resistencias superficiales correspondientes). </t>
    </r>
    <r>
      <rPr>
        <b/>
        <sz val="11"/>
        <color theme="1"/>
        <rFont val="Calibri"/>
        <family val="2"/>
        <scheme val="minor"/>
      </rPr>
      <t>NOTA:</t>
    </r>
    <r>
      <rPr>
        <sz val="11"/>
        <color theme="1"/>
        <rFont val="Calibri"/>
        <family val="2"/>
        <scheme val="minor"/>
      </rPr>
      <t xml:space="preserve"> </t>
    </r>
    <r>
      <rPr>
        <u/>
        <sz val="11"/>
        <color theme="1"/>
        <rFont val="Calibri"/>
        <family val="2"/>
        <scheme val="minor"/>
      </rPr>
      <t>Si en algún momento se realiza un cambio en la hoja Materiales a algún material seleccionado en las hojas Seccion1 o Seccion2, se deberá volver a seleccionar el material de la lista desplegable o el material no será reconocido</t>
    </r>
    <r>
      <rPr>
        <sz val="11"/>
        <color theme="1"/>
        <rFont val="Calibri"/>
        <family val="2"/>
        <scheme val="minor"/>
      </rPr>
      <t>. 
- En el apartado de Resultados se puede observar una tabla resumen respecto de si existe riesgo de condensación para las humedades relativas de cálculo y los gráficos de perfil de temperatura y presión de vapor de agua al interior de cada solución constructiva. De manera adicional, al presionar los botones de "Calcular HR Cond" la planilla mostrará la humedad relativa a partir de la cual comienza a manifestarse condensación.
- Finalmente, la planilla arroja una evaluación respecto de si el caso proyectado disminuye o no el riesgo de condensación tanto para el caso superficial como para el caso intersticial.
- Las hojas de cálculo Sección1 y Sección2 se deben imprimir y/o guardar como PDF con formato de formulario (3 páginas tamaño carta cada una).</t>
    </r>
  </si>
  <si>
    <t>Valparaíso</t>
  </si>
  <si>
    <t>San Felipe</t>
  </si>
  <si>
    <t>San Antonio</t>
  </si>
  <si>
    <t>Marga-Marga</t>
  </si>
  <si>
    <t>Petorca</t>
  </si>
  <si>
    <t>Los Andes</t>
  </si>
  <si>
    <t>Isla de Pascua</t>
  </si>
  <si>
    <t>REGIÓN DE VALPARAÍSO</t>
  </si>
  <si>
    <t>Limarí</t>
  </si>
  <si>
    <t>Choapa</t>
  </si>
  <si>
    <t>Elqui</t>
  </si>
  <si>
    <t>REGIÓN DE COQUIMBO</t>
  </si>
  <si>
    <t>Huasco</t>
  </si>
  <si>
    <t>Copiapó</t>
  </si>
  <si>
    <t>Chañaral</t>
  </si>
  <si>
    <t>REGIÓN DE ATACAMA</t>
  </si>
  <si>
    <t>Tocopilla</t>
  </si>
  <si>
    <t>Antofagasta</t>
  </si>
  <si>
    <t>REGIÓN DE ANTOFAGASTA</t>
  </si>
  <si>
    <t>El Loa</t>
  </si>
  <si>
    <t>REGIÓN DE TARAPACÁ</t>
  </si>
  <si>
    <t>Tamarugal</t>
  </si>
  <si>
    <t>Iquique</t>
  </si>
  <si>
    <t>REGIÓN DE ARICA Y PARINACOTA</t>
  </si>
  <si>
    <t>Parinacota</t>
  </si>
  <si>
    <t>Arica</t>
  </si>
  <si>
    <t>Región</t>
  </si>
  <si>
    <t>REGIÓN DE ARICA Y PARINACOTA:</t>
  </si>
  <si>
    <t>REGIÓN DE TARAPACÁ:</t>
  </si>
  <si>
    <t>REGIÓN DE ANTOFAGASTA:</t>
  </si>
  <si>
    <t>REGIÓN DE ATACAMA:</t>
  </si>
  <si>
    <t>REGIÓN DE COQUIMBO:</t>
  </si>
  <si>
    <t>REGIÓN DE VALPARAÍSO:</t>
  </si>
  <si>
    <t>n/a</t>
  </si>
  <si>
    <t>rd</t>
  </si>
  <si>
    <t>VALORES DE TEMPERATURA EXTERIOR MEDIA MÍNIMA</t>
  </si>
  <si>
    <t>VALORES DE HUMEDAD RELATIVA EXTERIOR A LA TEMPERATURA MEDIA MÍNIMA</t>
  </si>
  <si>
    <t>Ventana o puerta</t>
  </si>
  <si>
    <t>Elemento opaco</t>
  </si>
  <si>
    <t>Tipo elemento</t>
  </si>
  <si>
    <t>Calama</t>
  </si>
  <si>
    <t>Rapa Nui - Isla de Pascua</t>
  </si>
  <si>
    <t>Vallenar</t>
  </si>
  <si>
    <t>La Serena</t>
  </si>
  <si>
    <t>Quintero</t>
  </si>
  <si>
    <t>Santiago - Pudahuel</t>
  </si>
  <si>
    <t>Santiago - Quinta Normal</t>
  </si>
  <si>
    <t>Santiago - Los Cerrillos</t>
  </si>
  <si>
    <t>Isla Juan Fernández</t>
  </si>
  <si>
    <t>Sewell</t>
  </si>
  <si>
    <t>Parrón</t>
  </si>
  <si>
    <t>Curicó</t>
  </si>
  <si>
    <t>Chillán</t>
  </si>
  <si>
    <t>Concepción</t>
  </si>
  <si>
    <t>Temuco</t>
  </si>
  <si>
    <t>Puerto Montt</t>
  </si>
  <si>
    <t>Puerto Aysén</t>
  </si>
  <si>
    <t>Coyhaique</t>
  </si>
  <si>
    <t>Balmaceda</t>
  </si>
  <si>
    <t>Chile Chico</t>
  </si>
  <si>
    <t>Cochrane</t>
  </si>
  <si>
    <t>Punta Arenas</t>
  </si>
  <si>
    <t>Isla Diego Ramírez</t>
  </si>
  <si>
    <t>C.M.A. Pdte E. Frei M.</t>
  </si>
  <si>
    <t>Base Antártica A. Prat</t>
  </si>
  <si>
    <t>Base Antártica B. O'Higgins</t>
  </si>
  <si>
    <t>media anual</t>
  </si>
  <si>
    <t>Media anual</t>
  </si>
  <si>
    <t>VALORES DE TEMPERATURA EXTERIOR MEDIA - NCh 1079</t>
  </si>
  <si>
    <t>Ovalle</t>
  </si>
  <si>
    <t>Viña del Mar</t>
  </si>
  <si>
    <t>Vicuña</t>
  </si>
  <si>
    <t>Talca</t>
  </si>
  <si>
    <t>Chanco</t>
  </si>
  <si>
    <t>Linares</t>
  </si>
  <si>
    <t>Cauquenes</t>
  </si>
  <si>
    <t>Graneros</t>
  </si>
  <si>
    <t>inf:</t>
  </si>
  <si>
    <t>Infinito</t>
  </si>
  <si>
    <t>Estación Meteorológica</t>
  </si>
  <si>
    <t>Normal</t>
  </si>
  <si>
    <t>Alta</t>
  </si>
  <si>
    <r>
      <rPr>
        <sz val="11"/>
        <color theme="1"/>
        <rFont val="Calibri"/>
        <family val="2"/>
        <scheme val="minor"/>
      </rPr>
      <t>ϕ</t>
    </r>
    <r>
      <rPr>
        <sz val="9.35"/>
        <color theme="1"/>
        <rFont val="Calibri"/>
        <family val="2"/>
        <scheme val="minor"/>
      </rPr>
      <t>i según ocupación</t>
    </r>
  </si>
  <si>
    <r>
      <rPr>
        <sz val="11"/>
        <color theme="1"/>
        <rFont val="Calibri"/>
        <family val="2"/>
      </rPr>
      <t>Δ</t>
    </r>
    <r>
      <rPr>
        <sz val="9.35"/>
        <color theme="1"/>
        <rFont val="Calibri"/>
        <family val="2"/>
      </rPr>
      <t>v</t>
    </r>
  </si>
  <si>
    <t>Δp</t>
  </si>
  <si>
    <t>Clase de humedad</t>
  </si>
  <si>
    <t>Edificaciones desocupadas, almacenamiento de productos secos</t>
  </si>
  <si>
    <t>Oficinas, viviendas con ocupación normal y ventilación</t>
  </si>
  <si>
    <t>Edificaciones con ocupación desconocida</t>
  </si>
  <si>
    <t>Salas de deportes, cocinas, comedores</t>
  </si>
  <si>
    <t>Edificaciones especiales, por ejemplo, lavandería, cervecería, piscina</t>
  </si>
  <si>
    <t>Ocupación</t>
  </si>
  <si>
    <t>Ubicación</t>
  </si>
  <si>
    <r>
      <t>θ</t>
    </r>
    <r>
      <rPr>
        <sz val="9.35"/>
        <color theme="1"/>
        <rFont val="Calibri"/>
        <family val="2"/>
      </rPr>
      <t>e media</t>
    </r>
  </si>
  <si>
    <t>Clase</t>
  </si>
  <si>
    <t>ϕi</t>
  </si>
  <si>
    <t>ϴi</t>
  </si>
  <si>
    <t>ϕe</t>
  </si>
  <si>
    <t>ϴe</t>
  </si>
  <si>
    <t>θi</t>
  </si>
  <si>
    <t>y</t>
  </si>
  <si>
    <t>c</t>
  </si>
  <si>
    <t>x</t>
  </si>
  <si>
    <t>ϕi según:</t>
  </si>
  <si>
    <t>ϴi según:</t>
  </si>
  <si>
    <r>
      <t>ϕ</t>
    </r>
    <r>
      <rPr>
        <sz val="9.35"/>
        <color theme="1"/>
        <rFont val="Calibri"/>
        <family val="2"/>
        <scheme val="minor"/>
      </rPr>
      <t>i según</t>
    </r>
  </si>
  <si>
    <t>θi según</t>
  </si>
  <si>
    <t>θe media y nivel de ocupación (NCh1973 Anexo A)</t>
  </si>
  <si>
    <t>θe media y clase de humedad (NCh1973 Anexo A)</t>
  </si>
  <si>
    <t>θe media (NCh1973 Anexo A)</t>
  </si>
  <si>
    <t>ϕe según:</t>
  </si>
  <si>
    <t>ϴe según:</t>
  </si>
  <si>
    <t>NCh 1079</t>
  </si>
  <si>
    <t>Definido por usuario</t>
  </si>
  <si>
    <t>Datos climáticos proporcionados por usuario</t>
  </si>
  <si>
    <t>HR exterior, ϕe</t>
  </si>
  <si>
    <t>HR interior, ϕi</t>
  </si>
  <si>
    <t>Temperatura exterior, ϴe [°C]</t>
  </si>
  <si>
    <t>Temperatura interior, ϴi [°C]</t>
  </si>
  <si>
    <t>VALORES DE HUMEDAD RELATIVA EXTERIOR MEDIA - NCh 1079</t>
  </si>
  <si>
    <t>ϕi:</t>
  </si>
  <si>
    <t>n</t>
  </si>
  <si>
    <t>V</t>
  </si>
  <si>
    <t>Rv</t>
  </si>
  <si>
    <r>
      <t>Pa m</t>
    </r>
    <r>
      <rPr>
        <sz val="11"/>
        <color theme="1"/>
        <rFont val="Calibri"/>
        <family val="2"/>
      </rPr>
      <t>³/(K kg)</t>
    </r>
  </si>
  <si>
    <t>Renovaciones de aire por hora, n [1/h]</t>
  </si>
  <si>
    <t>Tasa de producción de humedad interior, G [kg/h]</t>
  </si>
  <si>
    <t>tasa de producción de humedad y ventilación conocidas</t>
  </si>
  <si>
    <t>Cond. Sup</t>
  </si>
  <si>
    <t>Cond. Inter</t>
  </si>
  <si>
    <t>Pi =</t>
  </si>
  <si>
    <t>i. de cond</t>
  </si>
  <si>
    <t>Ma</t>
  </si>
  <si>
    <t>Int 1</t>
  </si>
  <si>
    <t>Int 2</t>
  </si>
  <si>
    <t>Int 3</t>
  </si>
  <si>
    <t>Int 4</t>
  </si>
  <si>
    <t>Int 5</t>
  </si>
  <si>
    <t>Int 6</t>
  </si>
  <si>
    <t>Int 7</t>
  </si>
  <si>
    <t>Int 8</t>
  </si>
  <si>
    <t>Int 9</t>
  </si>
  <si>
    <t>Int 10</t>
  </si>
  <si>
    <t>Int 11</t>
  </si>
  <si>
    <t>Int 12</t>
  </si>
  <si>
    <t>fRsi,mín</t>
  </si>
  <si>
    <t>RTmín</t>
  </si>
  <si>
    <t>mes</t>
  </si>
  <si>
    <t>días</t>
  </si>
  <si>
    <t>Pi</t>
  </si>
  <si>
    <t>Pe</t>
  </si>
  <si>
    <t>Tasa de condensación mensual</t>
  </si>
  <si>
    <t>Δϴ</t>
  </si>
  <si>
    <t>Rtmín,máx</t>
  </si>
  <si>
    <t>ϕe,θe según</t>
  </si>
  <si>
    <t>Cond_HR</t>
  </si>
  <si>
    <t>gc/gv mensual</t>
  </si>
  <si>
    <t>Humedad acumulada mensual</t>
  </si>
  <si>
    <t>Considera mobiliario:</t>
  </si>
  <si>
    <t>infinito</t>
  </si>
  <si>
    <t>mobiliario</t>
  </si>
  <si>
    <t>Adhesivo EIFS</t>
  </si>
  <si>
    <t>Corcho aglomerado ρ = 105-125 kg/m³</t>
  </si>
  <si>
    <t>Enchape de madera contrachapada con resina fenólica ρ = 595 kg/m³</t>
  </si>
  <si>
    <t>Enchape de madera contrachapada con resina ureica ρ = 635 kg/m³</t>
  </si>
  <si>
    <t>EPS ρ = 10 kg/m³ - archipex</t>
  </si>
  <si>
    <t>EPS ρ = 15 kg/m³ - archipex</t>
  </si>
  <si>
    <t>EPS ρ = 20 kg/m³ - archipex</t>
  </si>
  <si>
    <t>EPS ρ = 25 kg/m³ - archipex</t>
  </si>
  <si>
    <t>EPS ρ = 30 kg/m³ - archipex</t>
  </si>
  <si>
    <t>Espuma niveladora</t>
  </si>
  <si>
    <t>Estuco EIFS</t>
  </si>
  <si>
    <t>Hormigón premezclado H20 (3L agua por saco) ρ = 2100 kg/m³</t>
  </si>
  <si>
    <t>Klober</t>
  </si>
  <si>
    <t>Ladrillo fiscal ρ = 1500 kg/m³</t>
  </si>
  <si>
    <t>Lana de oveja ρ = 12 kg/m³</t>
  </si>
  <si>
    <t>Lana de vidrio  ρ = 11 kg/m³</t>
  </si>
  <si>
    <t>Lana de vidrio en colchoneta con papel a 1 cara ρ = 35 kg/m³</t>
  </si>
  <si>
    <t>Lana mineral en colchoneta ρ = 36 kg/m³</t>
  </si>
  <si>
    <t>Lana vidrio en rollo ρ = 12 kg/m³</t>
  </si>
  <si>
    <t>Mortero de pega para pisos (5L agua por saco) ρ = 1800 kg/m³</t>
  </si>
  <si>
    <t>OSB  ρ = 648 kg/m³</t>
  </si>
  <si>
    <t>Papel mural 200 g/m²</t>
  </si>
  <si>
    <t>Pino insigne  ρ = 410 kg/m³</t>
  </si>
  <si>
    <t>Pintura barniz marino, 2 manos</t>
  </si>
  <si>
    <t>Pintura esmalte al agua (10 micras)</t>
  </si>
  <si>
    <t>Pintura esmalte al agua, 2 manos</t>
  </si>
  <si>
    <t>Pintura látex acrílico (10 micras)</t>
  </si>
  <si>
    <t>Pintura óleo brillante, 2 manos</t>
  </si>
  <si>
    <t>Pintura piscina, 2 manos</t>
  </si>
  <si>
    <t>Piso flotante, e = 6 mm</t>
  </si>
  <si>
    <t>Placa de fibra de madera MDF ρ = 620 kg/m³</t>
  </si>
  <si>
    <t>Placa de madera contrachapada ρ = 550 kg/m³</t>
  </si>
  <si>
    <t>Revestimiento exterior de fibrocemento tinglado</t>
  </si>
  <si>
    <t>Tyvek homewrap</t>
  </si>
  <si>
    <t>Volcán Wrap</t>
  </si>
  <si>
    <t>Yeso cartón RF ρ = 840 kg/m³</t>
  </si>
  <si>
    <t>Yeso cartón RH ρ = 760 kg/m³</t>
  </si>
  <si>
    <t>Terciado ranurado  ρ = 570 kg/m³</t>
  </si>
  <si>
    <t>Yeso Cartón ST ρ = 750 kg/m³</t>
  </si>
  <si>
    <t>Volcapol 20mm (sin barrera de vapor)</t>
  </si>
  <si>
    <t>Volcapol 30mm (sin barrera de vapor)</t>
  </si>
  <si>
    <t>2023.1.0</t>
  </si>
  <si>
    <t>Materiales ensayados en Chile - actualizado a marzo de 2023</t>
  </si>
  <si>
    <t>Poliuretano proyectado, ρ = 9,5 kg/m³</t>
  </si>
  <si>
    <t>placa de fibrosilicato ρ = 910 kg/m³</t>
  </si>
  <si>
    <t>Celulosa proyectada  ρ = 75 kg/m³</t>
  </si>
  <si>
    <t>Enchape cerámico</t>
  </si>
  <si>
    <t>Fibrocemento ρ = 1350 kg/m³</t>
  </si>
  <si>
    <t>Typro</t>
  </si>
  <si>
    <t>Fibra de poliéster ρ = 8 kg/m³</t>
  </si>
  <si>
    <t>Papel decomural vinílico 240 g/m²</t>
  </si>
  <si>
    <t>Impermeabilizante</t>
  </si>
  <si>
    <t>Revoque grueso de tierra (2½ arena gruesa, 1½ arena fina, 1 arcilla, ½ paja, 1 agua)</t>
  </si>
  <si>
    <t>Revoque fino de tierra (2½ arena gruesa, 1½ arena fina, 1 arcilla y agua)</t>
  </si>
  <si>
    <t>Fibrocemento ρ = 1250 kg/m³</t>
  </si>
  <si>
    <t>Papel Kraft librería 110 g/m²</t>
  </si>
  <si>
    <t>Mortero de pega albañilería (21,6% agua)</t>
  </si>
  <si>
    <t>Estuco cemento (18% agua)</t>
  </si>
  <si>
    <t>Provincia de Coyhaique</t>
  </si>
  <si>
    <t>FC</t>
  </si>
  <si>
    <t>fieltro</t>
  </si>
  <si>
    <t>LV12</t>
  </si>
  <si>
    <t>látex</t>
  </si>
  <si>
    <t>Pol</t>
  </si>
  <si>
    <t>Tingl. FC</t>
  </si>
  <si>
    <t>Tyvek</t>
  </si>
  <si>
    <t>Ranurado</t>
  </si>
  <si>
    <t>YC</t>
  </si>
  <si>
    <t xml:space="preserve">Tabique perimetral de madera 2x5", aislación termica Pol. Exp. d:15 e:12cm, revestimiento int. Y. Cartón Ste:10mm y ext. tinglado F.C. e:6mm (sección Aislante)  </t>
  </si>
  <si>
    <t xml:space="preserve">Tabique perimetral de madera 2x5", aislación termica Lana de v. d:12 e:12cm, revestimiento int. Y. Cartón Ste:10mm y ext. tinglado F.C. e:6mm (sección Aislante), barrera de vapor polietileno y barrera de humedas fieltro asfáltico  </t>
  </si>
  <si>
    <t>Revestimiento exterior de fibrocemento tinglado; μ = 139,189; e=0,006 m</t>
  </si>
  <si>
    <t>pol</t>
  </si>
  <si>
    <t>EPS ρ = 10 kg/m³ - archipex; μ = 31; e=0,12 m</t>
  </si>
  <si>
    <t>OSB  ρ = 648 kg/m³; μ = 371; e=0,0111 m</t>
  </si>
  <si>
    <t>Cámara de aire no ventilada, E = 0,82; μ = 1; e=0,005 m</t>
  </si>
  <si>
    <t>Yeso Cartón ST ρ = 750 kg/m³; μ = 20; e=0,01 m</t>
  </si>
  <si>
    <t>Fieltro M-3: 15 Libras; μ = 294; e=0,00037 m</t>
  </si>
  <si>
    <t>Lana vidrio en rollo ρ = 12 kg/m³; μ = 2,488; e=0,12 m</t>
  </si>
  <si>
    <t>Polietileno; μ = 151800; e=0,0002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</si>
</sst>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0"/>
    <numFmt numFmtId="166" formatCode="0.000"/>
    <numFmt numFmtId="167" formatCode="0.E+00"/>
    <numFmt numFmtId="168" formatCode="0.0.E+00"/>
    <numFmt numFmtId="169" formatCode="0.0E+00"/>
    <numFmt numFmtId="170" formatCode="0.00.E+00"/>
    <numFmt numFmtId="171" formatCode="0.0000000000"/>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2"/>
      <color rgb="FF000000"/>
      <name val="Calibri"/>
      <family val="2"/>
      <scheme val="minor"/>
    </font>
    <font>
      <b/>
      <sz val="12"/>
      <color theme="1"/>
      <name val="Calibri"/>
      <family val="2"/>
      <scheme val="minor"/>
    </font>
    <font>
      <b/>
      <sz val="10"/>
      <color theme="1"/>
      <name val="Calibri"/>
      <family val="2"/>
      <scheme val="minor"/>
    </font>
    <font>
      <b/>
      <vertAlign val="subscript"/>
      <sz val="11"/>
      <color theme="1"/>
      <name val="Calibri"/>
      <family val="2"/>
      <scheme val="minor"/>
    </font>
    <font>
      <sz val="11"/>
      <color theme="1"/>
      <name val="Calibri"/>
      <family val="2"/>
    </font>
    <font>
      <sz val="11"/>
      <name val="Calibri"/>
      <family val="2"/>
      <scheme val="minor"/>
    </font>
    <font>
      <b/>
      <sz val="11"/>
      <name val="Calibri"/>
      <family val="2"/>
      <scheme val="minor"/>
    </font>
    <font>
      <b/>
      <sz val="11"/>
      <color theme="1"/>
      <name val="Calibri"/>
      <family val="2"/>
    </font>
    <font>
      <b/>
      <sz val="11"/>
      <color theme="1"/>
      <name val="Calibri"/>
      <family val="2"/>
      <scheme val="minor"/>
    </font>
    <font>
      <sz val="9"/>
      <color theme="1"/>
      <name val="Calibri"/>
      <family val="2"/>
      <scheme val="minor"/>
    </font>
    <font>
      <sz val="12"/>
      <color theme="1"/>
      <name val="Calibri"/>
      <family val="2"/>
      <scheme val="minor"/>
    </font>
    <font>
      <sz val="12"/>
      <color rgb="FF000000"/>
      <name val="Calibri"/>
      <family val="2"/>
      <scheme val="minor"/>
    </font>
    <font>
      <u/>
      <sz val="11"/>
      <color theme="1"/>
      <name val="Calibri"/>
      <family val="2"/>
      <scheme val="minor"/>
    </font>
    <font>
      <sz val="11"/>
      <color theme="0"/>
      <name val="Calibri"/>
      <family val="2"/>
      <scheme val="minor"/>
    </font>
    <font>
      <b/>
      <sz val="9"/>
      <color theme="1"/>
      <name val="Calibri"/>
      <family val="2"/>
      <scheme val="minor"/>
    </font>
    <font>
      <b/>
      <sz val="14"/>
      <color rgb="FF000000"/>
      <name val="Calibri"/>
      <family val="2"/>
      <scheme val="minor"/>
    </font>
    <font>
      <sz val="14"/>
      <color theme="1"/>
      <name val="Calibri"/>
      <family val="2"/>
      <scheme val="minor"/>
    </font>
    <font>
      <b/>
      <sz val="14"/>
      <color theme="1"/>
      <name val="Calibri"/>
      <family val="2"/>
      <scheme val="minor"/>
    </font>
    <font>
      <b/>
      <vertAlign val="subscript"/>
      <sz val="12"/>
      <color theme="1"/>
      <name val="Calibri"/>
      <family val="2"/>
      <scheme val="minor"/>
    </font>
    <font>
      <b/>
      <sz val="13"/>
      <color theme="1"/>
      <name val="Calibri"/>
      <family val="2"/>
      <scheme val="minor"/>
    </font>
    <font>
      <sz val="13"/>
      <color theme="1"/>
      <name val="Calibri"/>
      <family val="2"/>
      <scheme val="minor"/>
    </font>
    <font>
      <sz val="12"/>
      <color theme="0"/>
      <name val="Calibri"/>
      <family val="2"/>
      <scheme val="minor"/>
    </font>
    <font>
      <sz val="10"/>
      <color theme="1"/>
      <name val="Calibri"/>
      <family val="2"/>
      <scheme val="minor"/>
    </font>
    <font>
      <b/>
      <sz val="12"/>
      <name val="Calibri"/>
      <family val="2"/>
      <scheme val="minor"/>
    </font>
    <font>
      <sz val="12"/>
      <name val="Calibri"/>
      <family val="2"/>
      <scheme val="minor"/>
    </font>
    <font>
      <b/>
      <sz val="13"/>
      <color theme="5"/>
      <name val="Calibri"/>
      <family val="2"/>
      <scheme val="minor"/>
    </font>
    <font>
      <b/>
      <vertAlign val="superscript"/>
      <sz val="11"/>
      <color theme="1"/>
      <name val="Calibri"/>
      <family val="2"/>
    </font>
    <font>
      <b/>
      <sz val="9"/>
      <color indexed="81"/>
      <name val="Tahoma"/>
      <family val="2"/>
    </font>
    <font>
      <b/>
      <vertAlign val="subscript"/>
      <sz val="11"/>
      <color theme="1"/>
      <name val="Calibri"/>
      <family val="2"/>
    </font>
    <font>
      <b/>
      <u/>
      <sz val="11"/>
      <color theme="1"/>
      <name val="Calibri"/>
      <family val="2"/>
      <scheme val="minor"/>
    </font>
    <font>
      <sz val="9"/>
      <color indexed="81"/>
      <name val="Tahoma"/>
      <family val="2"/>
    </font>
    <font>
      <vertAlign val="subscript"/>
      <sz val="11"/>
      <color theme="1"/>
      <name val="Calibri"/>
      <family val="2"/>
      <scheme val="minor"/>
    </font>
    <font>
      <b/>
      <sz val="18"/>
      <color theme="0"/>
      <name val="Calibri"/>
      <family val="2"/>
      <scheme val="minor"/>
    </font>
    <font>
      <b/>
      <u/>
      <sz val="12"/>
      <color rgb="FF000000"/>
      <name val="Calibri"/>
      <family val="2"/>
      <scheme val="minor"/>
    </font>
    <font>
      <b/>
      <sz val="11"/>
      <color theme="1"/>
      <name val="Calibri"/>
      <family val="2"/>
      <scheme val="minor"/>
    </font>
    <font>
      <sz val="9.35"/>
      <color theme="1"/>
      <name val="Calibri"/>
      <family val="2"/>
    </font>
    <font>
      <sz val="9.35"/>
      <color theme="1"/>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5"/>
        <bgColor indexed="64"/>
      </patternFill>
    </fill>
    <fill>
      <patternFill patternType="solid">
        <fgColor theme="8" tint="0.79998168889431442"/>
        <bgColor indexed="64"/>
      </patternFill>
    </fill>
    <fill>
      <patternFill patternType="solid">
        <fgColor theme="6"/>
        <bgColor indexed="64"/>
      </patternFill>
    </fill>
    <fill>
      <patternFill patternType="solid">
        <fgColor theme="1"/>
        <bgColor indexed="64"/>
      </patternFill>
    </fill>
    <fill>
      <patternFill patternType="solid">
        <fgColor rgb="FF00B0F0"/>
        <bgColor indexed="64"/>
      </patternFill>
    </fill>
    <fill>
      <patternFill patternType="solid">
        <fgColor rgb="FFFFC000"/>
        <bgColor indexed="64"/>
      </patternFill>
    </fill>
    <fill>
      <patternFill patternType="solid">
        <fgColor rgb="FFDAEEF3"/>
        <bgColor indexed="64"/>
      </patternFill>
    </fill>
    <fill>
      <patternFill patternType="solid">
        <fgColor rgb="FF002060"/>
        <bgColor indexed="64"/>
      </patternFill>
    </fill>
    <fill>
      <patternFill patternType="solid">
        <fgColor theme="0" tint="-0.14999847407452621"/>
        <bgColor theme="0" tint="-0.14999847407452621"/>
      </patternFill>
    </fill>
    <fill>
      <patternFill patternType="solid">
        <fgColor theme="8" tint="0.39997558519241921"/>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theme="1"/>
      </bottom>
      <diagonal/>
    </border>
    <border>
      <left/>
      <right/>
      <top style="thin">
        <color theme="1"/>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right/>
      <top/>
      <bottom style="thin">
        <color theme="1"/>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9" fontId="1" fillId="0" borderId="0" applyFont="0" applyFill="0" applyBorder="0" applyAlignment="0" applyProtection="0"/>
  </cellStyleXfs>
  <cellXfs count="694">
    <xf numFmtId="0" fontId="0" fillId="0" borderId="0" xfId="0"/>
    <xf numFmtId="0" fontId="0" fillId="2" borderId="0" xfId="0" applyFill="1"/>
    <xf numFmtId="0" fontId="2" fillId="0" borderId="0" xfId="0" applyFont="1"/>
    <xf numFmtId="0" fontId="0" fillId="0" borderId="0" xfId="0" applyAlignment="1">
      <alignment horizontal="left"/>
    </xf>
    <xf numFmtId="0" fontId="2" fillId="0" borderId="0" xfId="0" applyFont="1" applyAlignment="1">
      <alignment vertical="center"/>
    </xf>
    <xf numFmtId="0" fontId="2" fillId="0" borderId="0" xfId="0" applyFont="1" applyAlignment="1">
      <alignment horizontal="left" vertical="center"/>
    </xf>
    <xf numFmtId="0" fontId="0" fillId="0" borderId="0" xfId="0" quotePrefix="1"/>
    <xf numFmtId="0" fontId="2" fillId="4" borderId="3" xfId="0" applyFont="1" applyFill="1" applyBorder="1"/>
    <xf numFmtId="0" fontId="0" fillId="0" borderId="4" xfId="0" applyBorder="1"/>
    <xf numFmtId="0" fontId="0" fillId="0" borderId="9" xfId="0" applyBorder="1"/>
    <xf numFmtId="0" fontId="0" fillId="0" borderId="5" xfId="0" applyBorder="1"/>
    <xf numFmtId="2" fontId="0" fillId="0" borderId="4" xfId="0" applyNumberFormat="1" applyBorder="1"/>
    <xf numFmtId="0" fontId="2" fillId="2" borderId="0" xfId="0" applyFont="1" applyFill="1"/>
    <xf numFmtId="2" fontId="0" fillId="0" borderId="0" xfId="0" applyNumberFormat="1"/>
    <xf numFmtId="0" fontId="2" fillId="2" borderId="1" xfId="0" applyFont="1" applyFill="1" applyBorder="1"/>
    <xf numFmtId="0" fontId="0" fillId="2" borderId="0" xfId="0" applyFill="1" applyProtection="1">
      <protection locked="0" hidden="1"/>
    </xf>
    <xf numFmtId="2" fontId="0" fillId="2" borderId="0" xfId="1" applyNumberFormat="1" applyFont="1" applyFill="1" applyBorder="1" applyAlignment="1" applyProtection="1">
      <alignment horizontal="left"/>
      <protection locked="0" hidden="1"/>
    </xf>
    <xf numFmtId="0" fontId="0" fillId="2" borderId="0" xfId="0" applyFill="1" applyAlignment="1" applyProtection="1">
      <alignment horizontal="left"/>
      <protection locked="0" hidden="1"/>
    </xf>
    <xf numFmtId="0" fontId="0" fillId="0" borderId="3" xfId="0" applyBorder="1"/>
    <xf numFmtId="0" fontId="2" fillId="2" borderId="22" xfId="0" applyFont="1" applyFill="1" applyBorder="1"/>
    <xf numFmtId="11" fontId="0" fillId="2" borderId="23" xfId="0" applyNumberFormat="1" applyFill="1" applyBorder="1"/>
    <xf numFmtId="0" fontId="0" fillId="2" borderId="0" xfId="0" applyFill="1" applyProtection="1">
      <protection hidden="1"/>
    </xf>
    <xf numFmtId="2" fontId="0" fillId="2" borderId="0" xfId="0" applyNumberFormat="1" applyFill="1" applyAlignment="1" applyProtection="1">
      <alignment horizontal="left"/>
      <protection locked="0" hidden="1"/>
    </xf>
    <xf numFmtId="0" fontId="11" fillId="0" borderId="0" xfId="0" applyFont="1"/>
    <xf numFmtId="0" fontId="2" fillId="0" borderId="0" xfId="0" applyFont="1" applyAlignment="1">
      <alignment horizontal="right"/>
    </xf>
    <xf numFmtId="0" fontId="0" fillId="2" borderId="0" xfId="0" applyFill="1" applyAlignment="1">
      <alignment vertical="center" wrapText="1"/>
    </xf>
    <xf numFmtId="0" fontId="2" fillId="6" borderId="0" xfId="0" applyFont="1" applyFill="1" applyProtection="1">
      <protection locked="0" hidden="1"/>
    </xf>
    <xf numFmtId="0" fontId="2" fillId="6" borderId="0" xfId="0" applyFont="1" applyFill="1" applyAlignment="1" applyProtection="1">
      <alignment horizontal="center"/>
      <protection locked="0" hidden="1"/>
    </xf>
    <xf numFmtId="0" fontId="2" fillId="2" borderId="0" xfId="0" applyFont="1" applyFill="1" applyProtection="1">
      <protection locked="0" hidden="1"/>
    </xf>
    <xf numFmtId="0" fontId="2" fillId="2" borderId="29" xfId="0" applyFont="1" applyFill="1" applyBorder="1" applyProtection="1">
      <protection locked="0" hidden="1"/>
    </xf>
    <xf numFmtId="0" fontId="0" fillId="2" borderId="31" xfId="0" applyFill="1" applyBorder="1" applyAlignment="1" applyProtection="1">
      <alignment horizontal="left"/>
      <protection locked="0" hidden="1"/>
    </xf>
    <xf numFmtId="2" fontId="0" fillId="2" borderId="30" xfId="0" applyNumberFormat="1" applyFill="1" applyBorder="1" applyAlignment="1" applyProtection="1">
      <alignment horizontal="left"/>
      <protection locked="0" hidden="1"/>
    </xf>
    <xf numFmtId="0" fontId="0" fillId="2" borderId="30" xfId="0" applyFill="1" applyBorder="1" applyProtection="1">
      <protection locked="0" hidden="1"/>
    </xf>
    <xf numFmtId="0" fontId="0" fillId="2" borderId="31" xfId="0" applyFill="1" applyBorder="1" applyProtection="1">
      <protection locked="0" hidden="1"/>
    </xf>
    <xf numFmtId="0" fontId="2" fillId="2" borderId="30" xfId="0" applyFont="1" applyFill="1" applyBorder="1" applyAlignment="1" applyProtection="1">
      <alignment horizontal="right"/>
      <protection locked="0" hidden="1"/>
    </xf>
    <xf numFmtId="0" fontId="2" fillId="2" borderId="0" xfId="0" applyFont="1" applyFill="1" applyAlignment="1" applyProtection="1">
      <alignment horizontal="center"/>
      <protection locked="0" hidden="1"/>
    </xf>
    <xf numFmtId="0" fontId="2" fillId="2" borderId="29" xfId="0" applyFont="1" applyFill="1" applyBorder="1" applyAlignment="1" applyProtection="1">
      <alignment horizontal="center"/>
      <protection locked="0" hidden="1"/>
    </xf>
    <xf numFmtId="0" fontId="0" fillId="2" borderId="6" xfId="0" applyFill="1" applyBorder="1" applyProtection="1">
      <protection locked="0" hidden="1"/>
    </xf>
    <xf numFmtId="0" fontId="0" fillId="2" borderId="7" xfId="0" applyFill="1" applyBorder="1" applyProtection="1">
      <protection locked="0" hidden="1"/>
    </xf>
    <xf numFmtId="0" fontId="9" fillId="2" borderId="7" xfId="0" applyFont="1" applyFill="1" applyBorder="1" applyAlignment="1" applyProtection="1">
      <alignment horizontal="center" wrapText="1"/>
      <protection locked="0" hidden="1"/>
    </xf>
    <xf numFmtId="0" fontId="2" fillId="2" borderId="7" xfId="0" applyFont="1" applyFill="1" applyBorder="1" applyAlignment="1" applyProtection="1">
      <alignment horizontal="center"/>
      <protection locked="0" hidden="1"/>
    </xf>
    <xf numFmtId="0" fontId="2" fillId="2" borderId="8" xfId="0" applyFont="1" applyFill="1" applyBorder="1" applyAlignment="1" applyProtection="1">
      <alignment horizontal="center"/>
      <protection locked="0" hidden="1"/>
    </xf>
    <xf numFmtId="0" fontId="9" fillId="2" borderId="6" xfId="0" applyFont="1" applyFill="1" applyBorder="1" applyAlignment="1" applyProtection="1">
      <alignment horizontal="center" wrapText="1"/>
      <protection locked="0" hidden="1"/>
    </xf>
    <xf numFmtId="0" fontId="0" fillId="2" borderId="9" xfId="0" applyFill="1" applyBorder="1" applyProtection="1">
      <protection locked="0" hidden="1"/>
    </xf>
    <xf numFmtId="0" fontId="9" fillId="2" borderId="0" xfId="0" quotePrefix="1" applyFont="1" applyFill="1" applyAlignment="1" applyProtection="1">
      <alignment horizontal="center" wrapText="1"/>
      <protection locked="0" hidden="1"/>
    </xf>
    <xf numFmtId="0" fontId="9" fillId="2" borderId="21" xfId="0" quotePrefix="1" applyFont="1" applyFill="1" applyBorder="1" applyAlignment="1" applyProtection="1">
      <alignment horizontal="center" wrapText="1"/>
      <protection locked="0" hidden="1"/>
    </xf>
    <xf numFmtId="2" fontId="8" fillId="2" borderId="9" xfId="0" applyNumberFormat="1" applyFont="1" applyFill="1" applyBorder="1" applyAlignment="1" applyProtection="1">
      <alignment horizontal="center" wrapText="1"/>
      <protection locked="0" hidden="1"/>
    </xf>
    <xf numFmtId="164" fontId="0" fillId="2" borderId="21" xfId="0" applyNumberFormat="1" applyFill="1" applyBorder="1" applyAlignment="1" applyProtection="1">
      <alignment horizontal="center"/>
      <protection locked="0" hidden="1"/>
    </xf>
    <xf numFmtId="0" fontId="0" fillId="2" borderId="0" xfId="0" applyFill="1" applyAlignment="1" applyProtection="1">
      <alignment horizontal="center"/>
      <protection locked="0" hidden="1"/>
    </xf>
    <xf numFmtId="0" fontId="0" fillId="2" borderId="21" xfId="0" applyFill="1" applyBorder="1" applyProtection="1">
      <protection locked="0" hidden="1"/>
    </xf>
    <xf numFmtId="2" fontId="0" fillId="2" borderId="0" xfId="0" applyNumberFormat="1" applyFill="1" applyAlignment="1" applyProtection="1">
      <alignment horizontal="center"/>
      <protection locked="0" hidden="1"/>
    </xf>
    <xf numFmtId="164" fontId="0" fillId="2" borderId="0" xfId="0" applyNumberFormat="1" applyFill="1" applyAlignment="1" applyProtection="1">
      <alignment horizontal="center"/>
      <protection locked="0" hidden="1"/>
    </xf>
    <xf numFmtId="2" fontId="0" fillId="2" borderId="21" xfId="0" applyNumberFormat="1" applyFill="1" applyBorder="1" applyAlignment="1" applyProtection="1">
      <alignment horizontal="center"/>
      <protection locked="0" hidden="1"/>
    </xf>
    <xf numFmtId="2" fontId="0" fillId="2" borderId="9" xfId="0" applyNumberFormat="1" applyFill="1" applyBorder="1" applyAlignment="1" applyProtection="1">
      <alignment horizontal="center"/>
      <protection locked="0" hidden="1"/>
    </xf>
    <xf numFmtId="164" fontId="0" fillId="2" borderId="9" xfId="0" applyNumberFormat="1" applyFill="1" applyBorder="1" applyAlignment="1" applyProtection="1">
      <alignment horizontal="center"/>
      <protection locked="0" hidden="1"/>
    </xf>
    <xf numFmtId="1" fontId="0" fillId="2" borderId="0" xfId="0" applyNumberFormat="1" applyFill="1" applyAlignment="1" applyProtection="1">
      <alignment horizontal="center"/>
      <protection locked="0" hidden="1"/>
    </xf>
    <xf numFmtId="165" fontId="0" fillId="2" borderId="0" xfId="0" applyNumberFormat="1" applyFill="1" applyAlignment="1" applyProtection="1">
      <alignment horizontal="center"/>
      <protection locked="0" hidden="1"/>
    </xf>
    <xf numFmtId="0" fontId="0" fillId="2" borderId="10" xfId="0" applyFill="1" applyBorder="1" applyProtection="1">
      <protection locked="0" hidden="1"/>
    </xf>
    <xf numFmtId="0" fontId="0" fillId="2" borderId="27" xfId="0" applyFill="1" applyBorder="1" applyProtection="1">
      <protection locked="0" hidden="1"/>
    </xf>
    <xf numFmtId="0" fontId="0" fillId="2" borderId="27" xfId="0" applyFill="1" applyBorder="1" applyAlignment="1" applyProtection="1">
      <alignment horizontal="center"/>
      <protection locked="0" hidden="1"/>
    </xf>
    <xf numFmtId="165" fontId="0" fillId="2" borderId="27" xfId="0" applyNumberFormat="1" applyFill="1" applyBorder="1" applyAlignment="1" applyProtection="1">
      <alignment horizontal="center"/>
      <protection locked="0" hidden="1"/>
    </xf>
    <xf numFmtId="0" fontId="0" fillId="2" borderId="28" xfId="0" applyFill="1" applyBorder="1" applyProtection="1">
      <protection locked="0" hidden="1"/>
    </xf>
    <xf numFmtId="2" fontId="0" fillId="2" borderId="10" xfId="0" applyNumberFormat="1" applyFill="1" applyBorder="1" applyAlignment="1" applyProtection="1">
      <alignment horizontal="center"/>
      <protection locked="0" hidden="1"/>
    </xf>
    <xf numFmtId="2" fontId="0" fillId="2" borderId="28" xfId="0" applyNumberFormat="1" applyFill="1" applyBorder="1" applyAlignment="1" applyProtection="1">
      <alignment horizontal="center"/>
      <protection locked="0" hidden="1"/>
    </xf>
    <xf numFmtId="1" fontId="0" fillId="2" borderId="27" xfId="0" applyNumberFormat="1" applyFill="1" applyBorder="1" applyAlignment="1" applyProtection="1">
      <alignment horizontal="center"/>
      <protection locked="0" hidden="1"/>
    </xf>
    <xf numFmtId="2" fontId="0" fillId="2" borderId="27" xfId="0" applyNumberFormat="1" applyFill="1" applyBorder="1" applyAlignment="1" applyProtection="1">
      <alignment horizontal="center"/>
      <protection locked="0" hidden="1"/>
    </xf>
    <xf numFmtId="0" fontId="0" fillId="2" borderId="28" xfId="0" applyFill="1" applyBorder="1" applyAlignment="1" applyProtection="1">
      <alignment horizontal="center"/>
      <protection locked="0" hidden="1"/>
    </xf>
    <xf numFmtId="0" fontId="0" fillId="2" borderId="7" xfId="0" applyFill="1" applyBorder="1" applyAlignment="1" applyProtection="1">
      <alignment horizontal="center"/>
      <protection locked="0" hidden="1"/>
    </xf>
    <xf numFmtId="0" fontId="2" fillId="2" borderId="6" xfId="0" applyFont="1" applyFill="1" applyBorder="1" applyAlignment="1" applyProtection="1">
      <alignment horizontal="right"/>
      <protection locked="0" hidden="1"/>
    </xf>
    <xf numFmtId="2" fontId="0" fillId="2" borderId="8" xfId="0" applyNumberFormat="1" applyFill="1" applyBorder="1" applyAlignment="1" applyProtection="1">
      <alignment horizontal="left"/>
      <protection locked="0" hidden="1"/>
    </xf>
    <xf numFmtId="0" fontId="0" fillId="2" borderId="7" xfId="0" applyFill="1" applyBorder="1" applyAlignment="1" applyProtection="1">
      <alignment horizontal="left"/>
      <protection locked="0" hidden="1"/>
    </xf>
    <xf numFmtId="2" fontId="0" fillId="2" borderId="7" xfId="0" applyNumberFormat="1" applyFill="1" applyBorder="1" applyAlignment="1" applyProtection="1">
      <alignment horizontal="left"/>
      <protection locked="0" hidden="1"/>
    </xf>
    <xf numFmtId="0" fontId="0" fillId="2" borderId="8" xfId="0" applyFill="1" applyBorder="1" applyProtection="1">
      <protection locked="0" hidden="1"/>
    </xf>
    <xf numFmtId="2" fontId="0" fillId="2" borderId="21" xfId="0" applyNumberFormat="1" applyFill="1" applyBorder="1" applyAlignment="1" applyProtection="1">
      <alignment horizontal="left"/>
      <protection locked="0" hidden="1"/>
    </xf>
    <xf numFmtId="164" fontId="0" fillId="2" borderId="27" xfId="0" applyNumberFormat="1" applyFill="1" applyBorder="1" applyAlignment="1" applyProtection="1">
      <alignment horizontal="center"/>
      <protection locked="0" hidden="1"/>
    </xf>
    <xf numFmtId="0" fontId="2" fillId="2" borderId="9" xfId="0" applyFont="1" applyFill="1" applyBorder="1" applyAlignment="1" applyProtection="1">
      <alignment horizontal="right"/>
      <protection locked="0" hidden="1"/>
    </xf>
    <xf numFmtId="164" fontId="0" fillId="2" borderId="21" xfId="0" applyNumberFormat="1" applyFill="1" applyBorder="1" applyAlignment="1" applyProtection="1">
      <alignment horizontal="left"/>
      <protection locked="0" hidden="1"/>
    </xf>
    <xf numFmtId="0" fontId="2" fillId="2" borderId="7" xfId="0" applyFont="1" applyFill="1" applyBorder="1" applyProtection="1">
      <protection locked="0" hidden="1"/>
    </xf>
    <xf numFmtId="1" fontId="0" fillId="2" borderId="21" xfId="0" applyNumberFormat="1" applyFill="1" applyBorder="1" applyAlignment="1" applyProtection="1">
      <alignment horizontal="left"/>
      <protection locked="0" hidden="1"/>
    </xf>
    <xf numFmtId="1" fontId="0" fillId="2" borderId="0" xfId="0" applyNumberFormat="1" applyFill="1" applyAlignment="1" applyProtection="1">
      <alignment horizontal="left"/>
      <protection locked="0" hidden="1"/>
    </xf>
    <xf numFmtId="0" fontId="2" fillId="2" borderId="0" xfId="0" applyFont="1" applyFill="1" applyAlignment="1" applyProtection="1">
      <alignment horizontal="right"/>
      <protection locked="0" hidden="1"/>
    </xf>
    <xf numFmtId="0" fontId="2" fillId="2" borderId="9" xfId="0" applyFont="1" applyFill="1" applyBorder="1" applyProtection="1">
      <protection locked="0" hidden="1"/>
    </xf>
    <xf numFmtId="164" fontId="0" fillId="2" borderId="0" xfId="0" applyNumberFormat="1" applyFill="1" applyAlignment="1" applyProtection="1">
      <alignment horizontal="left"/>
      <protection locked="0" hidden="1"/>
    </xf>
    <xf numFmtId="166" fontId="0" fillId="2" borderId="0" xfId="0" applyNumberFormat="1" applyFill="1" applyAlignment="1" applyProtection="1">
      <alignment horizontal="left"/>
      <protection locked="0" hidden="1"/>
    </xf>
    <xf numFmtId="0" fontId="0" fillId="2" borderId="27" xfId="0" applyFill="1" applyBorder="1" applyAlignment="1" applyProtection="1">
      <alignment horizontal="left"/>
      <protection locked="0" hidden="1"/>
    </xf>
    <xf numFmtId="0" fontId="0" fillId="7" borderId="0" xfId="0" applyFill="1" applyProtection="1">
      <protection locked="0" hidden="1"/>
    </xf>
    <xf numFmtId="0" fontId="2" fillId="8" borderId="0" xfId="0" applyFont="1" applyFill="1" applyProtection="1">
      <protection locked="0" hidden="1"/>
    </xf>
    <xf numFmtId="0" fontId="2" fillId="8" borderId="0" xfId="0" applyFont="1" applyFill="1" applyAlignment="1" applyProtection="1">
      <alignment horizontal="center"/>
      <protection locked="0" hidden="1"/>
    </xf>
    <xf numFmtId="0" fontId="0" fillId="2" borderId="8" xfId="0" applyFill="1" applyBorder="1" applyAlignment="1" applyProtection="1">
      <alignment horizontal="center"/>
      <protection locked="0" hidden="1"/>
    </xf>
    <xf numFmtId="0" fontId="2" fillId="9" borderId="0" xfId="0" applyFont="1" applyFill="1" applyProtection="1">
      <protection locked="0" hidden="1"/>
    </xf>
    <xf numFmtId="0" fontId="2" fillId="9" borderId="0" xfId="0" applyFont="1" applyFill="1" applyAlignment="1" applyProtection="1">
      <alignment horizontal="center"/>
      <protection locked="0" hidden="1"/>
    </xf>
    <xf numFmtId="0" fontId="0" fillId="9" borderId="0" xfId="0" applyFill="1" applyProtection="1">
      <protection locked="0" hidden="1"/>
    </xf>
    <xf numFmtId="0" fontId="4" fillId="0" borderId="36" xfId="0" applyFont="1" applyBorder="1" applyAlignment="1">
      <alignment horizontal="center" vertical="top"/>
    </xf>
    <xf numFmtId="0" fontId="4" fillId="0" borderId="43" xfId="0" applyFont="1" applyBorder="1" applyAlignment="1">
      <alignment horizontal="center" vertical="top"/>
    </xf>
    <xf numFmtId="0" fontId="3" fillId="2" borderId="36" xfId="0" applyFont="1" applyFill="1" applyBorder="1" applyAlignment="1">
      <alignment horizontal="center" vertical="top"/>
    </xf>
    <xf numFmtId="0" fontId="14" fillId="2" borderId="27" xfId="0" applyFont="1" applyFill="1" applyBorder="1" applyAlignment="1">
      <alignment horizontal="left" vertical="top"/>
    </xf>
    <xf numFmtId="0" fontId="14" fillId="2" borderId="28" xfId="0" applyFont="1" applyFill="1" applyBorder="1" applyAlignment="1">
      <alignment horizontal="left" vertical="top"/>
    </xf>
    <xf numFmtId="0" fontId="13" fillId="2" borderId="10" xfId="0" applyFont="1" applyFill="1" applyBorder="1" applyAlignment="1">
      <alignment horizontal="center" vertical="top"/>
    </xf>
    <xf numFmtId="0" fontId="0" fillId="2" borderId="1" xfId="0" applyFill="1" applyBorder="1" applyProtection="1">
      <protection locked="0" hidden="1"/>
    </xf>
    <xf numFmtId="166" fontId="13" fillId="2" borderId="0" xfId="0" applyNumberFormat="1" applyFont="1" applyFill="1" applyProtection="1">
      <protection hidden="1"/>
    </xf>
    <xf numFmtId="0" fontId="23" fillId="2" borderId="0" xfId="0" applyFont="1" applyFill="1" applyProtection="1">
      <protection locked="0" hidden="1"/>
    </xf>
    <xf numFmtId="0" fontId="22" fillId="2" borderId="0" xfId="0" applyFont="1" applyFill="1" applyAlignment="1" applyProtection="1">
      <alignment horizontal="center"/>
      <protection hidden="1"/>
    </xf>
    <xf numFmtId="0" fontId="22" fillId="2" borderId="0" xfId="0" applyFont="1" applyFill="1" applyProtection="1">
      <protection hidden="1"/>
    </xf>
    <xf numFmtId="1" fontId="13" fillId="2" borderId="0" xfId="0" applyNumberFormat="1" applyFont="1" applyFill="1" applyProtection="1">
      <protection hidden="1"/>
    </xf>
    <xf numFmtId="2" fontId="22" fillId="2" borderId="0" xfId="0" applyNumberFormat="1" applyFont="1" applyFill="1" applyAlignment="1" applyProtection="1">
      <alignment wrapText="1"/>
      <protection hidden="1"/>
    </xf>
    <xf numFmtId="2" fontId="22" fillId="2" borderId="0" xfId="0" applyNumberFormat="1" applyFont="1" applyFill="1" applyProtection="1">
      <protection hidden="1"/>
    </xf>
    <xf numFmtId="0" fontId="0" fillId="0" borderId="21" xfId="0" applyBorder="1"/>
    <xf numFmtId="0" fontId="0" fillId="0" borderId="28" xfId="0" applyBorder="1"/>
    <xf numFmtId="0" fontId="0" fillId="0" borderId="27" xfId="0" applyBorder="1"/>
    <xf numFmtId="0" fontId="0" fillId="0" borderId="27" xfId="0" applyBorder="1" applyAlignment="1">
      <alignment horizontal="left"/>
    </xf>
    <xf numFmtId="0" fontId="0" fillId="2" borderId="29" xfId="0" applyFill="1" applyBorder="1" applyAlignment="1" applyProtection="1">
      <alignment horizontal="left"/>
      <protection locked="0" hidden="1"/>
    </xf>
    <xf numFmtId="2" fontId="0" fillId="2" borderId="6" xfId="0" applyNumberFormat="1" applyFill="1" applyBorder="1" applyAlignment="1" applyProtection="1">
      <alignment horizontal="left"/>
      <protection locked="0" hidden="1"/>
    </xf>
    <xf numFmtId="164" fontId="0" fillId="2" borderId="9" xfId="0" applyNumberFormat="1" applyFill="1" applyBorder="1" applyAlignment="1" applyProtection="1">
      <alignment horizontal="left"/>
      <protection locked="0" hidden="1"/>
    </xf>
    <xf numFmtId="1" fontId="0" fillId="2" borderId="9" xfId="0" applyNumberFormat="1" applyFill="1" applyBorder="1" applyAlignment="1" applyProtection="1">
      <alignment horizontal="left"/>
      <protection locked="0" hidden="1"/>
    </xf>
    <xf numFmtId="2" fontId="0" fillId="2" borderId="9" xfId="0" applyNumberFormat="1" applyFill="1" applyBorder="1" applyAlignment="1" applyProtection="1">
      <alignment horizontal="left"/>
      <protection locked="0" hidden="1"/>
    </xf>
    <xf numFmtId="0" fontId="2" fillId="2" borderId="27" xfId="0" applyFont="1" applyFill="1" applyBorder="1" applyAlignment="1" applyProtection="1">
      <alignment horizontal="right"/>
      <protection locked="0" hidden="1"/>
    </xf>
    <xf numFmtId="0" fontId="0" fillId="2" borderId="30" xfId="0" applyFill="1" applyBorder="1" applyAlignment="1" applyProtection="1">
      <alignment horizontal="left"/>
      <protection locked="0" hidden="1"/>
    </xf>
    <xf numFmtId="0" fontId="0" fillId="2" borderId="20" xfId="0" applyFill="1" applyBorder="1" applyAlignment="1" applyProtection="1">
      <alignment horizontal="center"/>
      <protection locked="0" hidden="1"/>
    </xf>
    <xf numFmtId="0" fontId="0" fillId="2" borderId="13" xfId="0" applyFill="1" applyBorder="1" applyProtection="1">
      <protection locked="0" hidden="1"/>
    </xf>
    <xf numFmtId="0" fontId="0" fillId="2" borderId="48" xfId="0" applyFill="1" applyBorder="1" applyProtection="1">
      <protection locked="0" hidden="1"/>
    </xf>
    <xf numFmtId="1" fontId="0" fillId="2" borderId="13" xfId="0" applyNumberFormat="1" applyFill="1" applyBorder="1" applyAlignment="1" applyProtection="1">
      <alignment horizontal="center"/>
      <protection locked="0" hidden="1"/>
    </xf>
    <xf numFmtId="1" fontId="0" fillId="2" borderId="48" xfId="0" applyNumberFormat="1" applyFill="1" applyBorder="1" applyAlignment="1" applyProtection="1">
      <alignment horizontal="center"/>
      <protection locked="0" hidden="1"/>
    </xf>
    <xf numFmtId="0" fontId="0" fillId="2" borderId="19" xfId="0" applyFill="1" applyBorder="1" applyAlignment="1">
      <alignment horizontal="center"/>
    </xf>
    <xf numFmtId="0" fontId="8" fillId="2" borderId="19" xfId="0" applyFont="1" applyFill="1" applyBorder="1" applyAlignment="1" applyProtection="1">
      <alignment horizontal="center"/>
      <protection locked="0" hidden="1"/>
    </xf>
    <xf numFmtId="1" fontId="0" fillId="2" borderId="47" xfId="0" applyNumberFormat="1" applyFill="1" applyBorder="1" applyAlignment="1" applyProtection="1">
      <alignment horizontal="center"/>
      <protection locked="0" hidden="1"/>
    </xf>
    <xf numFmtId="1" fontId="0" fillId="2" borderId="17" xfId="0" applyNumberFormat="1" applyFill="1" applyBorder="1" applyAlignment="1" applyProtection="1">
      <alignment horizontal="center"/>
      <protection locked="0" hidden="1"/>
    </xf>
    <xf numFmtId="0" fontId="0" fillId="2" borderId="45" xfId="0" applyFill="1" applyBorder="1"/>
    <xf numFmtId="0" fontId="0" fillId="2" borderId="20" xfId="0" applyFill="1" applyBorder="1"/>
    <xf numFmtId="0" fontId="0" fillId="2" borderId="13" xfId="0" applyFill="1" applyBorder="1" applyAlignment="1" applyProtection="1">
      <alignment horizontal="center"/>
      <protection locked="0" hidden="1"/>
    </xf>
    <xf numFmtId="0" fontId="0" fillId="2" borderId="18" xfId="0" applyFill="1" applyBorder="1" applyAlignment="1" applyProtection="1">
      <alignment horizontal="center"/>
      <protection locked="0" hidden="1"/>
    </xf>
    <xf numFmtId="0" fontId="0" fillId="2" borderId="17" xfId="0" applyFill="1" applyBorder="1" applyAlignment="1" applyProtection="1">
      <alignment horizontal="center"/>
      <protection locked="0" hidden="1"/>
    </xf>
    <xf numFmtId="0" fontId="0" fillId="2" borderId="45" xfId="0" applyFill="1" applyBorder="1" applyAlignment="1">
      <alignment horizontal="center"/>
    </xf>
    <xf numFmtId="0" fontId="8" fillId="2" borderId="45" xfId="0" applyFont="1" applyFill="1" applyBorder="1" applyAlignment="1" applyProtection="1">
      <alignment horizontal="center"/>
      <protection locked="0" hidden="1"/>
    </xf>
    <xf numFmtId="0" fontId="0" fillId="2" borderId="48" xfId="0" applyFill="1" applyBorder="1" applyAlignment="1" applyProtection="1">
      <alignment horizontal="center"/>
      <protection locked="0" hidden="1"/>
    </xf>
    <xf numFmtId="0" fontId="0" fillId="2" borderId="47" xfId="0" applyFill="1" applyBorder="1" applyProtection="1">
      <protection locked="0" hidden="1"/>
    </xf>
    <xf numFmtId="0" fontId="0" fillId="2" borderId="18" xfId="0" applyFill="1" applyBorder="1" applyProtection="1">
      <protection locked="0" hidden="1"/>
    </xf>
    <xf numFmtId="9" fontId="0" fillId="2" borderId="0" xfId="0" applyNumberFormat="1" applyFill="1"/>
    <xf numFmtId="9" fontId="1" fillId="2" borderId="0" xfId="1" applyFont="1" applyFill="1" applyBorder="1" applyAlignment="1" applyProtection="1">
      <alignment horizontal="right"/>
      <protection locked="0" hidden="1"/>
    </xf>
    <xf numFmtId="9" fontId="16" fillId="2" borderId="20" xfId="0" applyNumberFormat="1" applyFont="1" applyFill="1" applyBorder="1" applyAlignment="1" applyProtection="1">
      <alignment horizontal="left" vertical="center"/>
      <protection hidden="1"/>
    </xf>
    <xf numFmtId="164" fontId="0" fillId="2" borderId="0" xfId="0" applyNumberFormat="1" applyFill="1" applyProtection="1">
      <protection locked="0" hidden="1"/>
    </xf>
    <xf numFmtId="164" fontId="0" fillId="2" borderId="13" xfId="0" applyNumberFormat="1" applyFill="1" applyBorder="1" applyProtection="1">
      <protection locked="0" hidden="1"/>
    </xf>
    <xf numFmtId="164" fontId="0" fillId="2" borderId="18" xfId="0" applyNumberFormat="1" applyFill="1" applyBorder="1" applyProtection="1">
      <protection locked="0" hidden="1"/>
    </xf>
    <xf numFmtId="164" fontId="0" fillId="2" borderId="17" xfId="0" applyNumberFormat="1" applyFill="1" applyBorder="1" applyProtection="1">
      <protection locked="0" hidden="1"/>
    </xf>
    <xf numFmtId="164" fontId="0" fillId="2" borderId="48" xfId="0" applyNumberFormat="1" applyFill="1" applyBorder="1" applyProtection="1">
      <protection locked="0" hidden="1"/>
    </xf>
    <xf numFmtId="164" fontId="0" fillId="2" borderId="47" xfId="0" applyNumberFormat="1" applyFill="1" applyBorder="1" applyProtection="1">
      <protection locked="0" hidden="1"/>
    </xf>
    <xf numFmtId="164" fontId="0" fillId="2" borderId="18" xfId="0" applyNumberFormat="1" applyFill="1" applyBorder="1" applyAlignment="1" applyProtection="1">
      <alignment horizontal="center"/>
      <protection locked="0" hidden="1"/>
    </xf>
    <xf numFmtId="0" fontId="0" fillId="2" borderId="9" xfId="0" applyFill="1" applyBorder="1" applyProtection="1">
      <protection hidden="1"/>
    </xf>
    <xf numFmtId="0" fontId="4" fillId="2" borderId="29" xfId="0" applyFont="1" applyFill="1" applyBorder="1" applyAlignment="1" applyProtection="1">
      <alignment horizontal="left"/>
      <protection hidden="1"/>
    </xf>
    <xf numFmtId="9" fontId="4" fillId="2" borderId="32" xfId="1" applyFont="1" applyFill="1" applyBorder="1" applyAlignment="1" applyProtection="1">
      <alignment horizontal="center"/>
      <protection hidden="1"/>
    </xf>
    <xf numFmtId="9" fontId="4" fillId="2" borderId="33" xfId="1" applyFont="1" applyFill="1" applyBorder="1" applyAlignment="1" applyProtection="1">
      <alignment horizontal="center"/>
      <protection hidden="1"/>
    </xf>
    <xf numFmtId="9" fontId="4" fillId="2" borderId="34" xfId="1" applyFont="1" applyFill="1" applyBorder="1" applyAlignment="1" applyProtection="1">
      <alignment horizontal="center"/>
      <protection hidden="1"/>
    </xf>
    <xf numFmtId="0" fontId="23" fillId="2" borderId="21" xfId="0" applyFont="1" applyFill="1" applyBorder="1" applyProtection="1">
      <protection hidden="1"/>
    </xf>
    <xf numFmtId="0" fontId="23" fillId="2" borderId="9" xfId="0" applyFont="1" applyFill="1" applyBorder="1" applyProtection="1">
      <protection hidden="1"/>
    </xf>
    <xf numFmtId="0" fontId="0" fillId="2" borderId="21" xfId="0" applyFill="1" applyBorder="1" applyProtection="1">
      <protection hidden="1"/>
    </xf>
    <xf numFmtId="0" fontId="4" fillId="2" borderId="40" xfId="0" applyFont="1" applyFill="1" applyBorder="1" applyAlignment="1" applyProtection="1">
      <alignment horizontal="left"/>
      <protection hidden="1"/>
    </xf>
    <xf numFmtId="0" fontId="2" fillId="2" borderId="40" xfId="0" applyFont="1" applyFill="1" applyBorder="1" applyAlignment="1" applyProtection="1">
      <alignment horizontal="left"/>
      <protection hidden="1"/>
    </xf>
    <xf numFmtId="166" fontId="13" fillId="2" borderId="41" xfId="1" applyNumberFormat="1" applyFont="1" applyFill="1" applyBorder="1" applyAlignment="1" applyProtection="1">
      <alignment horizontal="center"/>
      <protection hidden="1"/>
    </xf>
    <xf numFmtId="166" fontId="13" fillId="2" borderId="2" xfId="1" applyNumberFormat="1" applyFont="1" applyFill="1" applyBorder="1" applyAlignment="1" applyProtection="1">
      <alignment horizontal="center"/>
      <protection hidden="1"/>
    </xf>
    <xf numFmtId="166" fontId="13" fillId="2" borderId="42" xfId="1" applyNumberFormat="1" applyFont="1" applyFill="1" applyBorder="1" applyAlignment="1" applyProtection="1">
      <alignment horizontal="center"/>
      <protection hidden="1"/>
    </xf>
    <xf numFmtId="0" fontId="4" fillId="2" borderId="39" xfId="0" applyFont="1" applyFill="1" applyBorder="1" applyProtection="1">
      <protection hidden="1"/>
    </xf>
    <xf numFmtId="0" fontId="13" fillId="2" borderId="36" xfId="0" applyFont="1" applyFill="1" applyBorder="1" applyAlignment="1" applyProtection="1">
      <alignment horizontal="center"/>
      <protection hidden="1"/>
    </xf>
    <xf numFmtId="0" fontId="13" fillId="2" borderId="1" xfId="0" applyFont="1" applyFill="1" applyBorder="1" applyAlignment="1" applyProtection="1">
      <alignment horizontal="center"/>
      <protection hidden="1"/>
    </xf>
    <xf numFmtId="0" fontId="2" fillId="2" borderId="9" xfId="0" applyFont="1" applyFill="1" applyBorder="1" applyProtection="1">
      <protection hidden="1"/>
    </xf>
    <xf numFmtId="0" fontId="13" fillId="2" borderId="35" xfId="0" applyFont="1" applyFill="1" applyBorder="1" applyAlignment="1" applyProtection="1">
      <alignment horizontal="center"/>
      <protection hidden="1"/>
    </xf>
    <xf numFmtId="0" fontId="4" fillId="2" borderId="39" xfId="0" applyFont="1" applyFill="1" applyBorder="1" applyAlignment="1" applyProtection="1">
      <alignment horizontal="left"/>
      <protection hidden="1"/>
    </xf>
    <xf numFmtId="0" fontId="4" fillId="2" borderId="49" xfId="0" applyFont="1" applyFill="1" applyBorder="1" applyAlignment="1" applyProtection="1">
      <alignment horizontal="left"/>
      <protection hidden="1"/>
    </xf>
    <xf numFmtId="0" fontId="13" fillId="2" borderId="38" xfId="0" applyFont="1" applyFill="1" applyBorder="1" applyAlignment="1" applyProtection="1">
      <alignment horizontal="center"/>
      <protection hidden="1"/>
    </xf>
    <xf numFmtId="0" fontId="13" fillId="2" borderId="23" xfId="0" applyFont="1" applyFill="1" applyBorder="1" applyAlignment="1" applyProtection="1">
      <alignment horizontal="center"/>
      <protection hidden="1"/>
    </xf>
    <xf numFmtId="0" fontId="0" fillId="2" borderId="10" xfId="0" applyFill="1" applyBorder="1" applyProtection="1">
      <protection hidden="1"/>
    </xf>
    <xf numFmtId="0" fontId="0" fillId="2" borderId="27" xfId="0" applyFill="1" applyBorder="1" applyProtection="1">
      <protection hidden="1"/>
    </xf>
    <xf numFmtId="0" fontId="0" fillId="2" borderId="28" xfId="0" applyFill="1" applyBorder="1" applyProtection="1">
      <protection hidden="1"/>
    </xf>
    <xf numFmtId="0" fontId="18" fillId="2" borderId="9" xfId="0"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21" xfId="0" applyFont="1" applyFill="1" applyBorder="1" applyAlignment="1" applyProtection="1">
      <alignment horizontal="center" vertical="center"/>
      <protection hidden="1"/>
    </xf>
    <xf numFmtId="0" fontId="3" fillId="2" borderId="9" xfId="0" applyFont="1" applyFill="1" applyBorder="1" applyAlignment="1" applyProtection="1">
      <alignment horizontal="center" vertical="center"/>
      <protection hidden="1"/>
    </xf>
    <xf numFmtId="0" fontId="3" fillId="2" borderId="21" xfId="0" applyFont="1" applyFill="1" applyBorder="1" applyAlignment="1" applyProtection="1">
      <alignment horizontal="center" vertical="center"/>
      <protection hidden="1"/>
    </xf>
    <xf numFmtId="0" fontId="14" fillId="2" borderId="0" xfId="0" applyFont="1" applyFill="1" applyAlignment="1" applyProtection="1">
      <alignment horizontal="left" vertical="top"/>
      <protection hidden="1"/>
    </xf>
    <xf numFmtId="0" fontId="13" fillId="2" borderId="6" xfId="0" applyFont="1" applyFill="1" applyBorder="1" applyProtection="1">
      <protection hidden="1"/>
    </xf>
    <xf numFmtId="0" fontId="13" fillId="2" borderId="7" xfId="0" applyFont="1" applyFill="1" applyBorder="1" applyProtection="1">
      <protection hidden="1"/>
    </xf>
    <xf numFmtId="0" fontId="13" fillId="2" borderId="8" xfId="0" applyFont="1" applyFill="1" applyBorder="1" applyProtection="1">
      <protection hidden="1"/>
    </xf>
    <xf numFmtId="0" fontId="13" fillId="2" borderId="9" xfId="0" applyFont="1" applyFill="1" applyBorder="1" applyProtection="1">
      <protection hidden="1"/>
    </xf>
    <xf numFmtId="0" fontId="13" fillId="2" borderId="21" xfId="0" applyFont="1" applyFill="1" applyBorder="1" applyProtection="1">
      <protection hidden="1"/>
    </xf>
    <xf numFmtId="0" fontId="13" fillId="2" borderId="10" xfId="0" applyFont="1" applyFill="1" applyBorder="1" applyProtection="1">
      <protection hidden="1"/>
    </xf>
    <xf numFmtId="0" fontId="13" fillId="2" borderId="27" xfId="0" applyFont="1" applyFill="1" applyBorder="1" applyProtection="1">
      <protection hidden="1"/>
    </xf>
    <xf numFmtId="0" fontId="13" fillId="2" borderId="28" xfId="0" applyFont="1" applyFill="1" applyBorder="1" applyProtection="1">
      <protection hidden="1"/>
    </xf>
    <xf numFmtId="0" fontId="4" fillId="2" borderId="6" xfId="0" applyFont="1" applyFill="1" applyBorder="1" applyAlignment="1" applyProtection="1">
      <alignment horizontal="center"/>
      <protection hidden="1"/>
    </xf>
    <xf numFmtId="0" fontId="4" fillId="2" borderId="7" xfId="0" applyFont="1" applyFill="1" applyBorder="1" applyAlignment="1" applyProtection="1">
      <alignment horizontal="center"/>
      <protection hidden="1"/>
    </xf>
    <xf numFmtId="0" fontId="4" fillId="2" borderId="8" xfId="0" applyFont="1" applyFill="1" applyBorder="1" applyAlignment="1" applyProtection="1">
      <alignment horizontal="center"/>
      <protection hidden="1"/>
    </xf>
    <xf numFmtId="0" fontId="4" fillId="2" borderId="9" xfId="0" applyFont="1" applyFill="1" applyBorder="1" applyAlignment="1" applyProtection="1">
      <alignment horizontal="center"/>
      <protection hidden="1"/>
    </xf>
    <xf numFmtId="0" fontId="22" fillId="2" borderId="0" xfId="0" applyFont="1" applyFill="1" applyAlignment="1" applyProtection="1">
      <alignment horizontal="left" vertical="top"/>
      <protection hidden="1"/>
    </xf>
    <xf numFmtId="0" fontId="4" fillId="2" borderId="0" xfId="0" applyFont="1" applyFill="1" applyAlignment="1" applyProtection="1">
      <alignment horizontal="center"/>
      <protection hidden="1"/>
    </xf>
    <xf numFmtId="0" fontId="4" fillId="2" borderId="21" xfId="0" applyFont="1" applyFill="1" applyBorder="1" applyAlignment="1" applyProtection="1">
      <alignment horizontal="center"/>
      <protection hidden="1"/>
    </xf>
    <xf numFmtId="0" fontId="5" fillId="2" borderId="0" xfId="0" applyFont="1" applyFill="1" applyAlignment="1" applyProtection="1">
      <alignment vertical="center"/>
      <protection hidden="1"/>
    </xf>
    <xf numFmtId="0" fontId="22" fillId="2" borderId="21" xfId="0" applyFont="1" applyFill="1" applyBorder="1" applyAlignment="1" applyProtection="1">
      <alignment horizontal="center"/>
      <protection hidden="1"/>
    </xf>
    <xf numFmtId="0" fontId="22" fillId="2" borderId="9" xfId="0" applyFont="1" applyFill="1" applyBorder="1" applyAlignment="1" applyProtection="1">
      <alignment horizontal="center"/>
      <protection hidden="1"/>
    </xf>
    <xf numFmtId="0" fontId="23" fillId="2" borderId="9" xfId="0" applyFont="1" applyFill="1" applyBorder="1" applyAlignment="1" applyProtection="1">
      <alignment horizontal="left"/>
      <protection hidden="1"/>
    </xf>
    <xf numFmtId="0" fontId="23" fillId="2" borderId="0" xfId="0" applyFont="1" applyFill="1" applyProtection="1">
      <protection hidden="1"/>
    </xf>
    <xf numFmtId="2" fontId="23" fillId="2" borderId="0" xfId="0" applyNumberFormat="1" applyFont="1" applyFill="1" applyProtection="1">
      <protection hidden="1"/>
    </xf>
    <xf numFmtId="0" fontId="4" fillId="2" borderId="0" xfId="0" applyFont="1" applyFill="1" applyProtection="1">
      <protection hidden="1"/>
    </xf>
    <xf numFmtId="0" fontId="13" fillId="2" borderId="0" xfId="0" applyFont="1" applyFill="1" applyAlignment="1" applyProtection="1">
      <alignment horizontal="left"/>
      <protection hidden="1"/>
    </xf>
    <xf numFmtId="0" fontId="10" fillId="2" borderId="9" xfId="0" applyFont="1" applyFill="1" applyBorder="1" applyAlignment="1" applyProtection="1">
      <alignment horizontal="left" textRotation="90" wrapText="1"/>
      <protection hidden="1"/>
    </xf>
    <xf numFmtId="0" fontId="13" fillId="2" borderId="0" xfId="0" applyFont="1" applyFill="1" applyProtection="1">
      <protection hidden="1"/>
    </xf>
    <xf numFmtId="0" fontId="0" fillId="2" borderId="6" xfId="0" applyFill="1" applyBorder="1" applyProtection="1">
      <protection hidden="1"/>
    </xf>
    <xf numFmtId="0" fontId="0" fillId="2" borderId="8" xfId="0" applyFill="1" applyBorder="1" applyProtection="1">
      <protection hidden="1"/>
    </xf>
    <xf numFmtId="0" fontId="5" fillId="2" borderId="19" xfId="0" applyFont="1" applyFill="1" applyBorder="1" applyAlignment="1" applyProtection="1">
      <alignment vertical="center"/>
      <protection hidden="1"/>
    </xf>
    <xf numFmtId="9" fontId="0" fillId="2" borderId="45" xfId="0" applyNumberFormat="1" applyFill="1" applyBorder="1" applyAlignment="1" applyProtection="1">
      <alignment horizontal="left" vertical="center"/>
      <protection hidden="1"/>
    </xf>
    <xf numFmtId="9" fontId="0" fillId="2" borderId="45" xfId="0" applyNumberFormat="1" applyFill="1" applyBorder="1" applyAlignment="1" applyProtection="1">
      <alignment horizontal="left"/>
      <protection hidden="1"/>
    </xf>
    <xf numFmtId="0" fontId="5" fillId="2" borderId="47" xfId="0" applyFont="1" applyFill="1" applyBorder="1" applyAlignment="1" applyProtection="1">
      <alignment vertical="center"/>
      <protection hidden="1"/>
    </xf>
    <xf numFmtId="0" fontId="0" fillId="2" borderId="18" xfId="0" applyFill="1" applyBorder="1" applyProtection="1">
      <protection hidden="1"/>
    </xf>
    <xf numFmtId="9" fontId="12" fillId="2" borderId="17" xfId="0" applyNumberFormat="1" applyFont="1" applyFill="1" applyBorder="1" applyAlignment="1" applyProtection="1">
      <alignment horizontal="center" vertical="center"/>
      <protection hidden="1"/>
    </xf>
    <xf numFmtId="0" fontId="20" fillId="2" borderId="0" xfId="0" applyFont="1" applyFill="1" applyAlignment="1" applyProtection="1">
      <alignment horizontal="right"/>
      <protection hidden="1"/>
    </xf>
    <xf numFmtId="0" fontId="19" fillId="2" borderId="0" xfId="0" applyFont="1" applyFill="1" applyAlignment="1" applyProtection="1">
      <alignment horizontal="center"/>
      <protection hidden="1"/>
    </xf>
    <xf numFmtId="0" fontId="19" fillId="2" borderId="0" xfId="0" applyFont="1" applyFill="1" applyProtection="1">
      <protection hidden="1"/>
    </xf>
    <xf numFmtId="2" fontId="0" fillId="2" borderId="31" xfId="0" applyNumberFormat="1" applyFill="1" applyBorder="1" applyAlignment="1" applyProtection="1">
      <alignment horizontal="left"/>
      <protection locked="0" hidden="1"/>
    </xf>
    <xf numFmtId="167" fontId="0" fillId="2" borderId="21" xfId="0" applyNumberFormat="1" applyFill="1" applyBorder="1" applyAlignment="1" applyProtection="1">
      <alignment horizontal="center"/>
      <protection locked="0" hidden="1"/>
    </xf>
    <xf numFmtId="168" fontId="0" fillId="2" borderId="21" xfId="0" applyNumberFormat="1" applyFill="1" applyBorder="1" applyAlignment="1" applyProtection="1">
      <alignment horizontal="center"/>
      <protection locked="0" hidden="1"/>
    </xf>
    <xf numFmtId="9" fontId="27" fillId="2" borderId="49" xfId="1" applyFont="1" applyFill="1" applyBorder="1" applyAlignment="1" applyProtection="1">
      <alignment horizontal="center"/>
      <protection hidden="1"/>
    </xf>
    <xf numFmtId="166" fontId="27" fillId="2" borderId="49" xfId="1" applyNumberFormat="1" applyFont="1" applyFill="1" applyBorder="1" applyAlignment="1" applyProtection="1">
      <alignment horizontal="center"/>
      <protection hidden="1"/>
    </xf>
    <xf numFmtId="0" fontId="28" fillId="2" borderId="9" xfId="0" applyFont="1" applyFill="1" applyBorder="1" applyAlignment="1" applyProtection="1">
      <alignment horizontal="center"/>
      <protection hidden="1"/>
    </xf>
    <xf numFmtId="0" fontId="28" fillId="2" borderId="21" xfId="0" applyFont="1" applyFill="1" applyBorder="1" applyAlignment="1" applyProtection="1">
      <alignment horizontal="center"/>
      <protection hidden="1"/>
    </xf>
    <xf numFmtId="0" fontId="27" fillId="2" borderId="52" xfId="0" applyFont="1" applyFill="1" applyBorder="1" applyAlignment="1" applyProtection="1">
      <alignment horizontal="center"/>
      <protection hidden="1"/>
    </xf>
    <xf numFmtId="0" fontId="27" fillId="2" borderId="49" xfId="1" applyNumberFormat="1" applyFont="1" applyFill="1" applyBorder="1" applyAlignment="1" applyProtection="1">
      <alignment horizontal="center"/>
      <protection hidden="1"/>
    </xf>
    <xf numFmtId="49" fontId="27" fillId="2" borderId="52" xfId="0" applyNumberFormat="1" applyFont="1" applyFill="1" applyBorder="1" applyAlignment="1" applyProtection="1">
      <alignment horizontal="center"/>
      <protection hidden="1"/>
    </xf>
    <xf numFmtId="49" fontId="27" fillId="2" borderId="49" xfId="1" applyNumberFormat="1" applyFont="1" applyFill="1" applyBorder="1" applyAlignment="1" applyProtection="1">
      <alignment horizontal="center"/>
      <protection hidden="1"/>
    </xf>
    <xf numFmtId="9" fontId="0" fillId="2" borderId="45" xfId="0" applyNumberFormat="1" applyFill="1" applyBorder="1" applyAlignment="1" applyProtection="1">
      <alignment horizontal="left" vertical="center" indent="2"/>
      <protection hidden="1"/>
    </xf>
    <xf numFmtId="0" fontId="2" fillId="2" borderId="16" xfId="0" applyFont="1" applyFill="1" applyBorder="1" applyAlignment="1">
      <alignment horizontal="center" wrapText="1"/>
    </xf>
    <xf numFmtId="166" fontId="0" fillId="0" borderId="0" xfId="0" applyNumberFormat="1"/>
    <xf numFmtId="49" fontId="0" fillId="0" borderId="0" xfId="0" applyNumberFormat="1"/>
    <xf numFmtId="0" fontId="2" fillId="0" borderId="16" xfId="0" applyFont="1" applyBorder="1" applyAlignment="1" applyProtection="1">
      <alignment vertical="center"/>
      <protection hidden="1"/>
    </xf>
    <xf numFmtId="0" fontId="2" fillId="2" borderId="16" xfId="0" applyFont="1" applyFill="1" applyBorder="1" applyAlignment="1" applyProtection="1">
      <alignment horizontal="center" vertical="center" wrapText="1"/>
      <protection hidden="1"/>
    </xf>
    <xf numFmtId="0" fontId="10" fillId="0" borderId="16" xfId="0" applyFont="1" applyBorder="1" applyAlignment="1" applyProtection="1">
      <alignment horizontal="center" vertical="center" wrapText="1"/>
      <protection hidden="1"/>
    </xf>
    <xf numFmtId="0" fontId="0" fillId="2" borderId="16" xfId="0" applyFill="1" applyBorder="1" applyProtection="1">
      <protection hidden="1"/>
    </xf>
    <xf numFmtId="0" fontId="2" fillId="0" borderId="18" xfId="0" applyFont="1" applyBorder="1" applyAlignment="1" applyProtection="1">
      <alignment horizontal="left" vertical="center" wrapText="1"/>
      <protection hidden="1"/>
    </xf>
    <xf numFmtId="0" fontId="10" fillId="0" borderId="2" xfId="0" applyFont="1" applyBorder="1" applyAlignment="1" applyProtection="1">
      <alignment horizontal="center" vertical="center" wrapText="1"/>
      <protection hidden="1"/>
    </xf>
    <xf numFmtId="0" fontId="10" fillId="0" borderId="47" xfId="0" applyFont="1" applyBorder="1" applyAlignment="1" applyProtection="1">
      <alignment horizontal="center" vertical="center" wrapText="1"/>
      <protection hidden="1"/>
    </xf>
    <xf numFmtId="0" fontId="0" fillId="0" borderId="20" xfId="0" applyBorder="1" applyProtection="1">
      <protection hidden="1"/>
    </xf>
    <xf numFmtId="0" fontId="2" fillId="0" borderId="13" xfId="0" applyFont="1" applyBorder="1" applyAlignment="1" applyProtection="1">
      <alignment vertical="center"/>
      <protection hidden="1"/>
    </xf>
    <xf numFmtId="0" fontId="2" fillId="2" borderId="53" xfId="0" applyFont="1" applyFill="1" applyBorder="1" applyAlignment="1" applyProtection="1">
      <alignment horizontal="center" wrapText="1"/>
      <protection hidden="1"/>
    </xf>
    <xf numFmtId="0" fontId="2" fillId="2" borderId="16" xfId="0" applyFont="1" applyFill="1" applyBorder="1" applyAlignment="1" applyProtection="1">
      <alignment horizontal="center" wrapText="1"/>
      <protection hidden="1"/>
    </xf>
    <xf numFmtId="0" fontId="0" fillId="2" borderId="1" xfId="0" applyFill="1" applyBorder="1" applyAlignment="1" applyProtection="1">
      <alignment horizontal="center"/>
      <protection hidden="1"/>
    </xf>
    <xf numFmtId="0" fontId="0" fillId="2" borderId="0" xfId="0" applyFill="1" applyAlignment="1" applyProtection="1">
      <alignment horizontal="center"/>
      <protection hidden="1"/>
    </xf>
    <xf numFmtId="0" fontId="2" fillId="2" borderId="17" xfId="0" applyFont="1" applyFill="1" applyBorder="1" applyAlignment="1" applyProtection="1">
      <alignment vertical="center"/>
      <protection hidden="1"/>
    </xf>
    <xf numFmtId="0" fontId="2" fillId="2" borderId="47" xfId="0" applyFont="1" applyFill="1" applyBorder="1" applyAlignment="1" applyProtection="1">
      <alignment horizontal="center" vertical="center" wrapText="1"/>
      <protection hidden="1"/>
    </xf>
    <xf numFmtId="0" fontId="0" fillId="0" borderId="13" xfId="0" applyBorder="1" applyProtection="1">
      <protection hidden="1"/>
    </xf>
    <xf numFmtId="0" fontId="0" fillId="2" borderId="13" xfId="0" applyFill="1" applyBorder="1" applyProtection="1">
      <protection hidden="1"/>
    </xf>
    <xf numFmtId="0" fontId="2" fillId="0" borderId="13" xfId="0" applyFont="1" applyBorder="1" applyAlignment="1">
      <alignment vertical="center"/>
    </xf>
    <xf numFmtId="0" fontId="2" fillId="0" borderId="48" xfId="0" applyFont="1" applyBorder="1" applyAlignment="1">
      <alignment horizontal="center" vertical="center" wrapText="1"/>
    </xf>
    <xf numFmtId="0" fontId="0" fillId="2" borderId="48" xfId="0" applyFill="1" applyBorder="1" applyProtection="1">
      <protection hidden="1"/>
    </xf>
    <xf numFmtId="0" fontId="8" fillId="0" borderId="4" xfId="0" applyFont="1" applyBorder="1"/>
    <xf numFmtId="0" fontId="8" fillId="0" borderId="5" xfId="0" applyFont="1" applyBorder="1"/>
    <xf numFmtId="0" fontId="2" fillId="2" borderId="13" xfId="0" applyFont="1" applyFill="1" applyBorder="1" applyAlignment="1" applyProtection="1">
      <alignment horizontal="left" vertical="center"/>
      <protection hidden="1"/>
    </xf>
    <xf numFmtId="0" fontId="2" fillId="2" borderId="13" xfId="0" applyFont="1" applyFill="1" applyBorder="1" applyAlignment="1" applyProtection="1">
      <alignment horizontal="center" wrapText="1"/>
      <protection hidden="1"/>
    </xf>
    <xf numFmtId="0" fontId="2" fillId="2" borderId="0" xfId="0" applyFont="1" applyFill="1" applyAlignment="1" applyProtection="1">
      <alignment horizontal="center" wrapText="1"/>
      <protection hidden="1"/>
    </xf>
    <xf numFmtId="0" fontId="2" fillId="2" borderId="2" xfId="0" applyFont="1" applyFill="1" applyBorder="1" applyAlignment="1" applyProtection="1">
      <alignment vertical="center"/>
      <protection hidden="1"/>
    </xf>
    <xf numFmtId="49" fontId="0" fillId="2" borderId="0" xfId="0" quotePrefix="1" applyNumberFormat="1" applyFill="1" applyAlignment="1" applyProtection="1">
      <alignment horizontal="center"/>
      <protection hidden="1"/>
    </xf>
    <xf numFmtId="0" fontId="0" fillId="2" borderId="16" xfId="0" applyFill="1" applyBorder="1" applyAlignment="1" applyProtection="1">
      <alignment horizontal="center" wrapText="1"/>
      <protection hidden="1"/>
    </xf>
    <xf numFmtId="0" fontId="0" fillId="0" borderId="15" xfId="0" applyBorder="1" applyProtection="1">
      <protection hidden="1"/>
    </xf>
    <xf numFmtId="49" fontId="0" fillId="0" borderId="16" xfId="0" quotePrefix="1" applyNumberFormat="1" applyBorder="1" applyAlignment="1" applyProtection="1">
      <alignment horizontal="center"/>
      <protection hidden="1"/>
    </xf>
    <xf numFmtId="0" fontId="0" fillId="0" borderId="16" xfId="0" applyBorder="1" applyAlignment="1" applyProtection="1">
      <alignment horizontal="center"/>
      <protection hidden="1"/>
    </xf>
    <xf numFmtId="0" fontId="0" fillId="0" borderId="16" xfId="0" applyBorder="1" applyAlignment="1" applyProtection="1">
      <alignment horizontal="center" vertical="top" wrapText="1"/>
      <protection hidden="1"/>
    </xf>
    <xf numFmtId="0" fontId="0" fillId="0" borderId="16" xfId="0" applyBorder="1" applyProtection="1">
      <protection hidden="1"/>
    </xf>
    <xf numFmtId="0" fontId="0" fillId="0" borderId="2" xfId="0" applyBorder="1" applyProtection="1">
      <protection hidden="1"/>
    </xf>
    <xf numFmtId="0" fontId="0" fillId="0" borderId="19" xfId="0" applyBorder="1" applyAlignment="1" applyProtection="1">
      <alignment horizontal="center"/>
      <protection hidden="1"/>
    </xf>
    <xf numFmtId="0" fontId="0" fillId="0" borderId="48" xfId="0" applyBorder="1" applyAlignment="1" applyProtection="1">
      <alignment horizontal="center"/>
      <protection hidden="1"/>
    </xf>
    <xf numFmtId="0" fontId="0" fillId="0" borderId="20" xfId="0" applyBorder="1" applyAlignment="1" applyProtection="1">
      <alignment horizontal="center"/>
      <protection hidden="1"/>
    </xf>
    <xf numFmtId="2" fontId="0" fillId="0" borderId="15" xfId="0" applyNumberFormat="1" applyBorder="1" applyAlignment="1" applyProtection="1">
      <alignment horizontal="center"/>
      <protection hidden="1"/>
    </xf>
    <xf numFmtId="0" fontId="0" fillId="0" borderId="15" xfId="0" applyBorder="1" applyAlignment="1" applyProtection="1">
      <alignment horizontal="center"/>
      <protection hidden="1"/>
    </xf>
    <xf numFmtId="0" fontId="8" fillId="0" borderId="17" xfId="0" applyFont="1" applyBorder="1" applyAlignment="1" applyProtection="1">
      <alignment vertical="center"/>
      <protection hidden="1"/>
    </xf>
    <xf numFmtId="0" fontId="8" fillId="0" borderId="2" xfId="0" applyFont="1" applyBorder="1" applyProtection="1">
      <protection hidden="1"/>
    </xf>
    <xf numFmtId="0" fontId="0" fillId="0" borderId="17" xfId="0" applyBorder="1" applyAlignment="1" applyProtection="1">
      <alignment horizontal="center"/>
      <protection hidden="1"/>
    </xf>
    <xf numFmtId="2" fontId="0" fillId="0" borderId="2" xfId="0" applyNumberFormat="1" applyBorder="1" applyAlignment="1" applyProtection="1">
      <alignment horizontal="center"/>
      <protection hidden="1"/>
    </xf>
    <xf numFmtId="0" fontId="0" fillId="0" borderId="2" xfId="0" applyBorder="1" applyAlignment="1" applyProtection="1">
      <alignment horizontal="center"/>
      <protection hidden="1"/>
    </xf>
    <xf numFmtId="0" fontId="0" fillId="0" borderId="47" xfId="0" applyBorder="1" applyAlignment="1" applyProtection="1">
      <alignment horizontal="center"/>
      <protection hidden="1"/>
    </xf>
    <xf numFmtId="0" fontId="0" fillId="0" borderId="15" xfId="0" applyBorder="1" applyAlignment="1" applyProtection="1">
      <alignment vertical="top"/>
      <protection hidden="1"/>
    </xf>
    <xf numFmtId="0" fontId="0" fillId="0" borderId="13" xfId="0" applyBorder="1" applyAlignment="1" applyProtection="1">
      <alignment vertical="center"/>
      <protection hidden="1"/>
    </xf>
    <xf numFmtId="0" fontId="0" fillId="0" borderId="16" xfId="0" applyBorder="1" applyAlignment="1" applyProtection="1">
      <alignment vertical="top"/>
      <protection hidden="1"/>
    </xf>
    <xf numFmtId="0" fontId="0" fillId="0" borderId="13" xfId="0" applyBorder="1" applyAlignment="1" applyProtection="1">
      <alignment horizontal="center"/>
      <protection hidden="1"/>
    </xf>
    <xf numFmtId="2" fontId="0" fillId="0" borderId="16" xfId="0" applyNumberFormat="1" applyBorder="1" applyAlignment="1" applyProtection="1">
      <alignment horizontal="center"/>
      <protection hidden="1"/>
    </xf>
    <xf numFmtId="0" fontId="0" fillId="0" borderId="17" xfId="0" applyBorder="1" applyAlignment="1" applyProtection="1">
      <alignment vertical="center"/>
      <protection hidden="1"/>
    </xf>
    <xf numFmtId="0" fontId="0" fillId="0" borderId="15" xfId="0" quotePrefix="1" applyBorder="1" applyAlignment="1" applyProtection="1">
      <alignment horizontal="center"/>
      <protection hidden="1"/>
    </xf>
    <xf numFmtId="0" fontId="0" fillId="0" borderId="19" xfId="0" quotePrefix="1" applyBorder="1" applyAlignment="1" applyProtection="1">
      <alignment horizontal="center"/>
      <protection hidden="1"/>
    </xf>
    <xf numFmtId="0" fontId="0" fillId="0" borderId="16" xfId="0" quotePrefix="1" applyBorder="1" applyAlignment="1" applyProtection="1">
      <alignment horizontal="center"/>
      <protection hidden="1"/>
    </xf>
    <xf numFmtId="0" fontId="0" fillId="0" borderId="48" xfId="0" quotePrefix="1" applyBorder="1" applyAlignment="1" applyProtection="1">
      <alignment horizontal="center"/>
      <protection hidden="1"/>
    </xf>
    <xf numFmtId="0" fontId="0" fillId="0" borderId="2" xfId="0" quotePrefix="1" applyBorder="1" applyAlignment="1" applyProtection="1">
      <alignment horizontal="center"/>
      <protection hidden="1"/>
    </xf>
    <xf numFmtId="0" fontId="0" fillId="0" borderId="47" xfId="0" quotePrefix="1" applyBorder="1" applyAlignment="1" applyProtection="1">
      <alignment horizontal="center"/>
      <protection hidden="1"/>
    </xf>
    <xf numFmtId="1" fontId="0" fillId="0" borderId="16" xfId="0" applyNumberFormat="1" applyBorder="1" applyAlignment="1" applyProtection="1">
      <alignment horizontal="center"/>
      <protection hidden="1"/>
    </xf>
    <xf numFmtId="0" fontId="8" fillId="0" borderId="16" xfId="0" applyFont="1" applyBorder="1" applyProtection="1">
      <protection hidden="1"/>
    </xf>
    <xf numFmtId="1" fontId="0" fillId="0" borderId="2" xfId="0" applyNumberFormat="1" applyBorder="1" applyAlignment="1" applyProtection="1">
      <alignment horizontal="center"/>
      <protection hidden="1"/>
    </xf>
    <xf numFmtId="0" fontId="0" fillId="0" borderId="20" xfId="0" applyBorder="1" applyAlignment="1" applyProtection="1">
      <alignment vertical="center" wrapText="1"/>
      <protection hidden="1"/>
    </xf>
    <xf numFmtId="0" fontId="0" fillId="0" borderId="13" xfId="0" applyBorder="1" applyAlignment="1" applyProtection="1">
      <alignment vertical="center" wrapText="1"/>
      <protection hidden="1"/>
    </xf>
    <xf numFmtId="0" fontId="0" fillId="0" borderId="17" xfId="0" applyBorder="1" applyAlignment="1" applyProtection="1">
      <alignment vertical="center" wrapText="1"/>
      <protection hidden="1"/>
    </xf>
    <xf numFmtId="0" fontId="8" fillId="0" borderId="13" xfId="0" applyFont="1" applyBorder="1" applyAlignment="1" applyProtection="1">
      <alignment vertical="center"/>
      <protection hidden="1"/>
    </xf>
    <xf numFmtId="0" fontId="8" fillId="0" borderId="20" xfId="0" applyFont="1" applyBorder="1" applyAlignment="1" applyProtection="1">
      <alignment vertical="center" wrapText="1"/>
      <protection hidden="1"/>
    </xf>
    <xf numFmtId="0" fontId="8" fillId="0" borderId="13" xfId="0" applyFont="1" applyBorder="1" applyAlignment="1" applyProtection="1">
      <alignment vertical="center" wrapText="1"/>
      <protection hidden="1"/>
    </xf>
    <xf numFmtId="0" fontId="8" fillId="0" borderId="17" xfId="0" applyFont="1" applyBorder="1" applyAlignment="1" applyProtection="1">
      <alignment vertical="center" wrapText="1"/>
      <protection hidden="1"/>
    </xf>
    <xf numFmtId="170" fontId="0" fillId="0" borderId="15" xfId="0" applyNumberFormat="1" applyBorder="1" applyAlignment="1" applyProtection="1">
      <alignment horizontal="center" vertical="center"/>
      <protection hidden="1"/>
    </xf>
    <xf numFmtId="170" fontId="0" fillId="0" borderId="19" xfId="0" applyNumberFormat="1" applyBorder="1" applyAlignment="1" applyProtection="1">
      <alignment horizontal="center"/>
      <protection hidden="1"/>
    </xf>
    <xf numFmtId="170" fontId="0" fillId="0" borderId="16" xfId="0" applyNumberFormat="1" applyBorder="1" applyAlignment="1" applyProtection="1">
      <alignment horizontal="center" vertical="center"/>
      <protection hidden="1"/>
    </xf>
    <xf numFmtId="170" fontId="0" fillId="0" borderId="48" xfId="0" applyNumberFormat="1" applyBorder="1" applyAlignment="1" applyProtection="1">
      <alignment horizontal="center"/>
      <protection hidden="1"/>
    </xf>
    <xf numFmtId="0" fontId="0" fillId="0" borderId="13" xfId="0" applyBorder="1" applyAlignment="1">
      <alignment horizontal="left"/>
    </xf>
    <xf numFmtId="0" fontId="2" fillId="2" borderId="1" xfId="0" applyFont="1" applyFill="1" applyBorder="1" applyProtection="1">
      <protection hidden="1"/>
    </xf>
    <xf numFmtId="0" fontId="0" fillId="2" borderId="0" xfId="0" applyFill="1" applyProtection="1">
      <protection locked="0"/>
    </xf>
    <xf numFmtId="0" fontId="0" fillId="0" borderId="5" xfId="0" applyBorder="1" applyAlignment="1">
      <alignment horizontal="left"/>
    </xf>
    <xf numFmtId="0" fontId="0" fillId="2" borderId="0" xfId="0" applyFill="1" applyAlignment="1" applyProtection="1">
      <alignment horizontal="right"/>
      <protection hidden="1"/>
    </xf>
    <xf numFmtId="11" fontId="0" fillId="0" borderId="0" xfId="0" applyNumberFormat="1"/>
    <xf numFmtId="0" fontId="2" fillId="4" borderId="21" xfId="0" applyFont="1" applyFill="1" applyBorder="1"/>
    <xf numFmtId="0" fontId="2" fillId="4" borderId="4" xfId="0" applyFont="1" applyFill="1" applyBorder="1"/>
    <xf numFmtId="0" fontId="2" fillId="4" borderId="9" xfId="0" applyFont="1" applyFill="1" applyBorder="1"/>
    <xf numFmtId="0" fontId="0" fillId="0" borderId="0" xfId="0" applyAlignment="1">
      <alignment wrapText="1"/>
    </xf>
    <xf numFmtId="166" fontId="0" fillId="2" borderId="18" xfId="0" applyNumberFormat="1" applyFill="1" applyBorder="1" applyProtection="1">
      <protection hidden="1"/>
    </xf>
    <xf numFmtId="0" fontId="0" fillId="2" borderId="1" xfId="0" applyFill="1" applyBorder="1" applyProtection="1">
      <protection hidden="1"/>
    </xf>
    <xf numFmtId="0" fontId="0" fillId="5" borderId="2" xfId="0" applyFill="1" applyBorder="1" applyAlignment="1" applyProtection="1">
      <alignment horizontal="center"/>
      <protection locked="0" hidden="1"/>
    </xf>
    <xf numFmtId="0" fontId="0" fillId="2" borderId="13" xfId="0" applyFill="1" applyBorder="1" applyAlignment="1" applyProtection="1">
      <alignment horizontal="center" wrapText="1"/>
      <protection hidden="1"/>
    </xf>
    <xf numFmtId="0" fontId="0" fillId="5" borderId="1" xfId="0" applyFill="1" applyBorder="1" applyAlignment="1" applyProtection="1">
      <alignment horizontal="center"/>
      <protection locked="0" hidden="1"/>
    </xf>
    <xf numFmtId="0" fontId="0" fillId="0" borderId="13" xfId="0" quotePrefix="1" applyBorder="1" applyAlignment="1" applyProtection="1">
      <alignment vertical="center" wrapText="1"/>
      <protection hidden="1"/>
    </xf>
    <xf numFmtId="0" fontId="0" fillId="0" borderId="20" xfId="0" quotePrefix="1" applyBorder="1" applyAlignment="1" applyProtection="1">
      <alignment vertical="center" wrapText="1"/>
      <protection hidden="1"/>
    </xf>
    <xf numFmtId="0" fontId="8" fillId="0" borderId="15" xfId="0" applyFont="1" applyBorder="1" applyAlignment="1" applyProtection="1">
      <alignment vertical="top"/>
      <protection hidden="1"/>
    </xf>
    <xf numFmtId="0" fontId="2" fillId="0" borderId="13" xfId="0" applyFont="1" applyBorder="1" applyAlignment="1" applyProtection="1">
      <alignment vertical="center" wrapText="1"/>
      <protection hidden="1"/>
    </xf>
    <xf numFmtId="0" fontId="2" fillId="0" borderId="16" xfId="0" applyFont="1" applyBorder="1" applyAlignment="1" applyProtection="1">
      <alignment vertical="top"/>
      <protection hidden="1"/>
    </xf>
    <xf numFmtId="0" fontId="2" fillId="0" borderId="13" xfId="0" applyFont="1" applyBorder="1" applyAlignment="1" applyProtection="1">
      <alignment horizontal="center"/>
      <protection hidden="1"/>
    </xf>
    <xf numFmtId="2" fontId="2" fillId="0" borderId="16" xfId="0" applyNumberFormat="1" applyFont="1" applyBorder="1" applyAlignment="1" applyProtection="1">
      <alignment horizontal="center"/>
      <protection hidden="1"/>
    </xf>
    <xf numFmtId="0" fontId="2" fillId="0" borderId="16" xfId="0" applyFont="1" applyBorder="1" applyAlignment="1" applyProtection="1">
      <alignment horizontal="center"/>
      <protection hidden="1"/>
    </xf>
    <xf numFmtId="0" fontId="2" fillId="0" borderId="48" xfId="0" applyFont="1" applyBorder="1" applyAlignment="1" applyProtection="1">
      <alignment horizontal="center"/>
      <protection hidden="1"/>
    </xf>
    <xf numFmtId="0" fontId="0" fillId="0" borderId="17" xfId="0" applyBorder="1" applyProtection="1">
      <protection hidden="1"/>
    </xf>
    <xf numFmtId="0" fontId="0" fillId="5" borderId="1" xfId="0" applyFill="1" applyBorder="1" applyAlignment="1" applyProtection="1">
      <alignment horizontal="left"/>
      <protection locked="0" hidden="1"/>
    </xf>
    <xf numFmtId="166" fontId="0" fillId="2" borderId="0" xfId="0" applyNumberFormat="1" applyFill="1" applyAlignment="1" applyProtection="1">
      <alignment horizontal="center"/>
      <protection locked="0" hidden="1"/>
    </xf>
    <xf numFmtId="166" fontId="0" fillId="2" borderId="27" xfId="0" applyNumberFormat="1" applyFill="1" applyBorder="1" applyAlignment="1" applyProtection="1">
      <alignment horizontal="center"/>
      <protection locked="0" hidden="1"/>
    </xf>
    <xf numFmtId="0" fontId="0" fillId="2" borderId="0" xfId="0" applyFill="1" applyAlignment="1">
      <alignment wrapText="1"/>
    </xf>
    <xf numFmtId="171" fontId="0" fillId="2" borderId="0" xfId="0" applyNumberFormat="1" applyFill="1" applyProtection="1">
      <protection locked="0" hidden="1"/>
    </xf>
    <xf numFmtId="0" fontId="0" fillId="5" borderId="2" xfId="0" applyFill="1" applyBorder="1" applyAlignment="1" applyProtection="1">
      <alignment horizontal="left"/>
      <protection locked="0" hidden="1"/>
    </xf>
    <xf numFmtId="0" fontId="4" fillId="2" borderId="14" xfId="0" applyFont="1" applyFill="1" applyBorder="1" applyAlignment="1">
      <alignment horizontal="center" wrapText="1"/>
    </xf>
    <xf numFmtId="2" fontId="0" fillId="2" borderId="0" xfId="0" applyNumberFormat="1" applyFill="1" applyProtection="1">
      <protection locked="0" hidden="1"/>
    </xf>
    <xf numFmtId="9" fontId="26" fillId="2" borderId="51" xfId="1" applyFont="1" applyFill="1" applyBorder="1" applyAlignment="1" applyProtection="1">
      <alignment horizontal="center"/>
      <protection hidden="1"/>
    </xf>
    <xf numFmtId="2" fontId="0" fillId="2" borderId="0" xfId="0" applyNumberFormat="1" applyFill="1" applyAlignment="1" applyProtection="1">
      <alignment horizontal="right"/>
      <protection hidden="1"/>
    </xf>
    <xf numFmtId="0" fontId="0" fillId="2" borderId="18" xfId="0" applyFill="1" applyBorder="1" applyAlignment="1" applyProtection="1">
      <alignment horizontal="center"/>
      <protection hidden="1"/>
    </xf>
    <xf numFmtId="0" fontId="7" fillId="2" borderId="0" xfId="0" applyFont="1" applyFill="1" applyAlignment="1" applyProtection="1">
      <alignment horizontal="right"/>
      <protection hidden="1"/>
    </xf>
    <xf numFmtId="0" fontId="0" fillId="2" borderId="0" xfId="0" applyFill="1" applyAlignment="1" applyProtection="1">
      <alignment horizontal="left"/>
      <protection hidden="1"/>
    </xf>
    <xf numFmtId="166" fontId="13" fillId="2" borderId="54" xfId="0" applyNumberFormat="1" applyFont="1" applyFill="1" applyBorder="1" applyAlignment="1" applyProtection="1">
      <alignment horizontal="center"/>
      <protection hidden="1"/>
    </xf>
    <xf numFmtId="166" fontId="13" fillId="2" borderId="45" xfId="0" applyNumberFormat="1" applyFont="1" applyFill="1" applyBorder="1" applyAlignment="1" applyProtection="1">
      <alignment horizontal="center"/>
      <protection hidden="1"/>
    </xf>
    <xf numFmtId="166" fontId="13" fillId="2" borderId="35" xfId="0" applyNumberFormat="1" applyFont="1" applyFill="1" applyBorder="1" applyAlignment="1" applyProtection="1">
      <alignment horizontal="center"/>
      <protection hidden="1"/>
    </xf>
    <xf numFmtId="166" fontId="13" fillId="2" borderId="54" xfId="0" applyNumberFormat="1" applyFont="1" applyFill="1" applyBorder="1" applyAlignment="1" applyProtection="1">
      <alignment horizontal="center"/>
      <protection locked="0" hidden="1"/>
    </xf>
    <xf numFmtId="166" fontId="13" fillId="2" borderId="45" xfId="0" applyNumberFormat="1" applyFont="1" applyFill="1" applyBorder="1" applyAlignment="1" applyProtection="1">
      <alignment horizontal="center"/>
      <protection locked="0" hidden="1"/>
    </xf>
    <xf numFmtId="166" fontId="13" fillId="2" borderId="35" xfId="0" applyNumberFormat="1" applyFont="1" applyFill="1" applyBorder="1" applyAlignment="1" applyProtection="1">
      <alignment horizontal="center"/>
      <protection locked="0" hidden="1"/>
    </xf>
    <xf numFmtId="0" fontId="35" fillId="11" borderId="0" xfId="0" applyFont="1" applyFill="1" applyProtection="1">
      <protection hidden="1"/>
    </xf>
    <xf numFmtId="0" fontId="35" fillId="2" borderId="0" xfId="0" applyFont="1" applyFill="1" applyProtection="1">
      <protection hidden="1"/>
    </xf>
    <xf numFmtId="0" fontId="2" fillId="4" borderId="0" xfId="0" applyFont="1" applyFill="1"/>
    <xf numFmtId="0" fontId="14" fillId="2" borderId="0" xfId="0" applyFont="1" applyFill="1" applyAlignment="1">
      <alignment horizontal="left" vertical="top"/>
    </xf>
    <xf numFmtId="0" fontId="0" fillId="2" borderId="20" xfId="0" applyFill="1" applyBorder="1" applyAlignment="1">
      <alignment horizontal="center"/>
    </xf>
    <xf numFmtId="0" fontId="13" fillId="2" borderId="55" xfId="0" applyFont="1" applyFill="1" applyBorder="1" applyAlignment="1" applyProtection="1">
      <alignment horizontal="center"/>
      <protection hidden="1"/>
    </xf>
    <xf numFmtId="0" fontId="13" fillId="2" borderId="15" xfId="0" applyFont="1" applyFill="1" applyBorder="1" applyAlignment="1" applyProtection="1">
      <alignment horizontal="center"/>
      <protection hidden="1"/>
    </xf>
    <xf numFmtId="49" fontId="27" fillId="2" borderId="7" xfId="0" applyNumberFormat="1" applyFont="1" applyFill="1" applyBorder="1" applyAlignment="1" applyProtection="1">
      <alignment horizontal="center"/>
      <protection hidden="1"/>
    </xf>
    <xf numFmtId="0" fontId="27" fillId="2" borderId="7" xfId="0" applyFont="1" applyFill="1" applyBorder="1" applyAlignment="1" applyProtection="1">
      <alignment horizontal="center"/>
      <protection hidden="1"/>
    </xf>
    <xf numFmtId="0" fontId="4" fillId="2" borderId="51" xfId="0" applyFont="1" applyFill="1" applyBorder="1" applyAlignment="1" applyProtection="1">
      <alignment horizontal="left"/>
      <protection hidden="1"/>
    </xf>
    <xf numFmtId="0" fontId="27" fillId="2" borderId="4" xfId="1" applyNumberFormat="1" applyFont="1" applyFill="1" applyBorder="1" applyAlignment="1" applyProtection="1">
      <alignment horizontal="center"/>
      <protection hidden="1"/>
    </xf>
    <xf numFmtId="0" fontId="13" fillId="2" borderId="32" xfId="0" applyFont="1" applyFill="1" applyBorder="1" applyAlignment="1" applyProtection="1">
      <alignment horizontal="center"/>
      <protection hidden="1"/>
    </xf>
    <xf numFmtId="0" fontId="13" fillId="2" borderId="33" xfId="0" applyFont="1" applyFill="1" applyBorder="1" applyAlignment="1" applyProtection="1">
      <alignment horizontal="center"/>
      <protection hidden="1"/>
    </xf>
    <xf numFmtId="0" fontId="13" fillId="2" borderId="34" xfId="0" applyFont="1" applyFill="1" applyBorder="1" applyAlignment="1" applyProtection="1">
      <alignment horizontal="center"/>
      <protection hidden="1"/>
    </xf>
    <xf numFmtId="49" fontId="27" fillId="2" borderId="51" xfId="0" applyNumberFormat="1" applyFont="1" applyFill="1" applyBorder="1" applyAlignment="1" applyProtection="1">
      <alignment horizontal="center"/>
      <protection hidden="1"/>
    </xf>
    <xf numFmtId="49" fontId="27" fillId="2" borderId="4" xfId="1" applyNumberFormat="1" applyFont="1" applyFill="1" applyBorder="1" applyAlignment="1" applyProtection="1">
      <alignment horizontal="center"/>
      <protection hidden="1"/>
    </xf>
    <xf numFmtId="0" fontId="27" fillId="2" borderId="51" xfId="0" applyFont="1" applyFill="1" applyBorder="1" applyAlignment="1" applyProtection="1">
      <alignment horizontal="center"/>
      <protection hidden="1"/>
    </xf>
    <xf numFmtId="0" fontId="4" fillId="2" borderId="8" xfId="0" applyFont="1" applyFill="1" applyBorder="1" applyAlignment="1" applyProtection="1">
      <alignment horizontal="right"/>
      <protection hidden="1"/>
    </xf>
    <xf numFmtId="0" fontId="13" fillId="2" borderId="43" xfId="0" applyFont="1" applyFill="1" applyBorder="1" applyAlignment="1" applyProtection="1">
      <alignment horizontal="center"/>
      <protection hidden="1"/>
    </xf>
    <xf numFmtId="0" fontId="13" fillId="2" borderId="25" xfId="0" applyFont="1" applyFill="1" applyBorder="1" applyAlignment="1" applyProtection="1">
      <alignment horizontal="center"/>
      <protection hidden="1"/>
    </xf>
    <xf numFmtId="0" fontId="13" fillId="2" borderId="26" xfId="0" applyFont="1" applyFill="1" applyBorder="1" applyAlignment="1" applyProtection="1">
      <alignment horizontal="center"/>
      <protection hidden="1"/>
    </xf>
    <xf numFmtId="0" fontId="27" fillId="2" borderId="57" xfId="0" applyFont="1" applyFill="1" applyBorder="1" applyAlignment="1" applyProtection="1">
      <alignment horizontal="center"/>
      <protection hidden="1"/>
    </xf>
    <xf numFmtId="0" fontId="25" fillId="2" borderId="39" xfId="0" applyFont="1" applyFill="1" applyBorder="1" applyAlignment="1" applyProtection="1">
      <alignment vertical="center"/>
      <protection hidden="1"/>
    </xf>
    <xf numFmtId="0" fontId="24" fillId="2" borderId="58" xfId="0" applyFont="1" applyFill="1" applyBorder="1" applyAlignment="1" applyProtection="1">
      <alignment horizontal="center"/>
      <protection hidden="1"/>
    </xf>
    <xf numFmtId="0" fontId="4" fillId="2" borderId="5" xfId="0" applyFont="1" applyFill="1" applyBorder="1" applyAlignment="1" applyProtection="1">
      <alignment horizontal="left"/>
      <protection hidden="1"/>
    </xf>
    <xf numFmtId="0" fontId="27" fillId="2" borderId="5" xfId="1" applyNumberFormat="1" applyFont="1" applyFill="1" applyBorder="1" applyAlignment="1" applyProtection="1">
      <alignment horizontal="center"/>
      <protection hidden="1"/>
    </xf>
    <xf numFmtId="0" fontId="27" fillId="2" borderId="58" xfId="0" applyFont="1" applyFill="1" applyBorder="1" applyAlignment="1" applyProtection="1">
      <alignment horizontal="center"/>
      <protection hidden="1"/>
    </xf>
    <xf numFmtId="49" fontId="27" fillId="2" borderId="5" xfId="1" applyNumberFormat="1" applyFont="1" applyFill="1" applyBorder="1" applyAlignment="1" applyProtection="1">
      <alignment horizontal="center"/>
      <protection hidden="1"/>
    </xf>
    <xf numFmtId="0" fontId="2" fillId="2" borderId="27" xfId="0" applyFont="1" applyFill="1" applyBorder="1" applyAlignment="1" applyProtection="1">
      <alignment horizontal="left"/>
      <protection hidden="1"/>
    </xf>
    <xf numFmtId="166" fontId="13" fillId="2" borderId="27" xfId="1" applyNumberFormat="1" applyFont="1" applyFill="1" applyBorder="1" applyAlignment="1" applyProtection="1">
      <alignment horizontal="center"/>
      <protection hidden="1"/>
    </xf>
    <xf numFmtId="166" fontId="27" fillId="2" borderId="27" xfId="1" applyNumberFormat="1" applyFont="1" applyFill="1" applyBorder="1" applyAlignment="1" applyProtection="1">
      <alignment horizontal="center"/>
      <protection hidden="1"/>
    </xf>
    <xf numFmtId="9" fontId="13" fillId="2" borderId="43" xfId="1" applyFont="1" applyFill="1" applyBorder="1" applyAlignment="1" applyProtection="1">
      <alignment horizontal="center"/>
      <protection hidden="1"/>
    </xf>
    <xf numFmtId="9" fontId="13" fillId="2" borderId="25" xfId="1" applyFont="1" applyFill="1" applyBorder="1" applyAlignment="1" applyProtection="1">
      <alignment horizontal="center"/>
      <protection hidden="1"/>
    </xf>
    <xf numFmtId="9" fontId="13" fillId="2" borderId="26" xfId="1" applyFont="1" applyFill="1" applyBorder="1" applyAlignment="1" applyProtection="1">
      <alignment horizontal="center"/>
      <protection hidden="1"/>
    </xf>
    <xf numFmtId="9" fontId="27" fillId="2" borderId="57" xfId="1" applyFont="1" applyFill="1" applyBorder="1" applyAlignment="1" applyProtection="1">
      <alignment horizontal="center"/>
      <protection hidden="1"/>
    </xf>
    <xf numFmtId="0" fontId="2" fillId="2" borderId="10" xfId="0" applyFont="1" applyFill="1" applyBorder="1" applyAlignment="1" applyProtection="1">
      <alignment horizontal="left"/>
      <protection hidden="1"/>
    </xf>
    <xf numFmtId="166" fontId="13" fillId="2" borderId="59" xfId="1" applyNumberFormat="1" applyFont="1" applyFill="1" applyBorder="1" applyAlignment="1" applyProtection="1">
      <alignment horizontal="center"/>
      <protection hidden="1"/>
    </xf>
    <xf numFmtId="166" fontId="13" fillId="2" borderId="60" xfId="1" applyNumberFormat="1" applyFont="1" applyFill="1" applyBorder="1" applyAlignment="1" applyProtection="1">
      <alignment horizontal="center"/>
      <protection hidden="1"/>
    </xf>
    <xf numFmtId="166" fontId="13" fillId="2" borderId="61" xfId="1" applyNumberFormat="1" applyFont="1" applyFill="1" applyBorder="1" applyAlignment="1" applyProtection="1">
      <alignment horizontal="center"/>
      <protection hidden="1"/>
    </xf>
    <xf numFmtId="166" fontId="27" fillId="2" borderId="5" xfId="1" applyNumberFormat="1" applyFont="1" applyFill="1" applyBorder="1" applyAlignment="1" applyProtection="1">
      <alignment horizontal="center"/>
      <protection hidden="1"/>
    </xf>
    <xf numFmtId="0" fontId="2" fillId="2" borderId="30" xfId="0" applyFont="1" applyFill="1" applyBorder="1" applyAlignment="1" applyProtection="1">
      <alignment horizontal="left"/>
      <protection hidden="1"/>
    </xf>
    <xf numFmtId="166" fontId="13" fillId="2" borderId="30" xfId="1" applyNumberFormat="1" applyFont="1" applyFill="1" applyBorder="1" applyAlignment="1" applyProtection="1">
      <alignment horizontal="center"/>
      <protection hidden="1"/>
    </xf>
    <xf numFmtId="166" fontId="27" fillId="2" borderId="30" xfId="1" applyNumberFormat="1" applyFont="1" applyFill="1" applyBorder="1" applyAlignment="1" applyProtection="1">
      <alignment horizontal="center"/>
      <protection hidden="1"/>
    </xf>
    <xf numFmtId="0" fontId="0" fillId="2" borderId="31" xfId="0" applyFill="1" applyBorder="1" applyProtection="1">
      <protection hidden="1"/>
    </xf>
    <xf numFmtId="0" fontId="4" fillId="2" borderId="30" xfId="0" applyFont="1" applyFill="1" applyBorder="1" applyAlignment="1" applyProtection="1">
      <alignment horizontal="left"/>
      <protection hidden="1"/>
    </xf>
    <xf numFmtId="9" fontId="4" fillId="2" borderId="30" xfId="1" applyFont="1" applyFill="1" applyBorder="1" applyAlignment="1" applyProtection="1">
      <alignment horizontal="center"/>
      <protection hidden="1"/>
    </xf>
    <xf numFmtId="9" fontId="26" fillId="2" borderId="30" xfId="1" applyFont="1" applyFill="1" applyBorder="1" applyAlignment="1" applyProtection="1">
      <alignment horizontal="center"/>
      <protection hidden="1"/>
    </xf>
    <xf numFmtId="0" fontId="25" fillId="2" borderId="51" xfId="0" applyFont="1" applyFill="1" applyBorder="1" applyAlignment="1" applyProtection="1">
      <alignment horizontal="center"/>
      <protection hidden="1"/>
    </xf>
    <xf numFmtId="1" fontId="0" fillId="2" borderId="0" xfId="0" applyNumberFormat="1" applyFill="1"/>
    <xf numFmtId="1" fontId="23" fillId="10" borderId="0" xfId="1" applyNumberFormat="1" applyFont="1" applyFill="1" applyBorder="1" applyAlignment="1" applyProtection="1">
      <alignment horizontal="left"/>
      <protection locked="0" hidden="1"/>
    </xf>
    <xf numFmtId="0" fontId="4" fillId="2" borderId="9" xfId="0" applyFont="1" applyFill="1" applyBorder="1" applyAlignment="1" applyProtection="1">
      <alignment horizontal="left"/>
      <protection hidden="1"/>
    </xf>
    <xf numFmtId="0" fontId="2" fillId="2" borderId="45" xfId="0" applyFont="1" applyFill="1" applyBorder="1" applyAlignment="1" applyProtection="1">
      <alignment horizontal="left"/>
      <protection hidden="1"/>
    </xf>
    <xf numFmtId="166" fontId="13" fillId="2" borderId="45" xfId="1" applyNumberFormat="1" applyFont="1" applyFill="1" applyBorder="1" applyAlignment="1" applyProtection="1">
      <alignment horizontal="center"/>
      <protection hidden="1"/>
    </xf>
    <xf numFmtId="166" fontId="27" fillId="2" borderId="45" xfId="1" applyNumberFormat="1" applyFont="1" applyFill="1" applyBorder="1" applyAlignment="1" applyProtection="1">
      <alignment horizontal="center"/>
      <protection hidden="1"/>
    </xf>
    <xf numFmtId="0" fontId="4" fillId="2" borderId="56"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166" fontId="13" fillId="2" borderId="0" xfId="1" applyNumberFormat="1" applyFont="1" applyFill="1" applyBorder="1" applyAlignment="1" applyProtection="1">
      <alignment horizontal="center"/>
      <protection hidden="1"/>
    </xf>
    <xf numFmtId="166" fontId="27" fillId="2" borderId="0" xfId="1" applyNumberFormat="1" applyFont="1" applyFill="1" applyBorder="1" applyAlignment="1" applyProtection="1">
      <alignment horizontal="center"/>
      <protection hidden="1"/>
    </xf>
    <xf numFmtId="0" fontId="4" fillId="2" borderId="56" xfId="0" applyFont="1" applyFill="1" applyBorder="1" applyProtection="1">
      <protection hidden="1"/>
    </xf>
    <xf numFmtId="0" fontId="7" fillId="2" borderId="0" xfId="0" quotePrefix="1" applyFont="1" applyFill="1" applyAlignment="1" applyProtection="1">
      <alignment horizontal="center"/>
      <protection hidden="1"/>
    </xf>
    <xf numFmtId="0" fontId="7" fillId="2" borderId="0" xfId="0" applyFont="1" applyFill="1" applyAlignment="1" applyProtection="1">
      <alignment wrapText="1"/>
      <protection hidden="1"/>
    </xf>
    <xf numFmtId="0" fontId="0" fillId="2" borderId="56" xfId="0" applyFill="1" applyBorder="1" applyProtection="1">
      <protection hidden="1"/>
    </xf>
    <xf numFmtId="0" fontId="0" fillId="2" borderId="39" xfId="0" applyFill="1" applyBorder="1" applyProtection="1">
      <protection hidden="1"/>
    </xf>
    <xf numFmtId="0" fontId="0" fillId="2" borderId="64" xfId="0" applyFill="1" applyBorder="1" applyProtection="1">
      <protection hidden="1"/>
    </xf>
    <xf numFmtId="0" fontId="0" fillId="5" borderId="43" xfId="0" applyFill="1" applyBorder="1" applyAlignment="1" applyProtection="1">
      <alignment horizontal="center"/>
      <protection locked="0"/>
    </xf>
    <xf numFmtId="0" fontId="0" fillId="5" borderId="26" xfId="0" applyFill="1" applyBorder="1" applyAlignment="1" applyProtection="1">
      <alignment horizontal="center"/>
      <protection locked="0"/>
    </xf>
    <xf numFmtId="0" fontId="0" fillId="5" borderId="36" xfId="0" applyFill="1" applyBorder="1" applyAlignment="1" applyProtection="1">
      <alignment horizontal="center"/>
      <protection locked="0"/>
    </xf>
    <xf numFmtId="0" fontId="0" fillId="5" borderId="37" xfId="0" applyFill="1" applyBorder="1" applyAlignment="1" applyProtection="1">
      <alignment horizontal="center"/>
      <protection locked="0"/>
    </xf>
    <xf numFmtId="0" fontId="0" fillId="5" borderId="38" xfId="0" applyFill="1" applyBorder="1" applyAlignment="1" applyProtection="1">
      <alignment horizontal="center"/>
      <protection locked="0"/>
    </xf>
    <xf numFmtId="0" fontId="0" fillId="5" borderId="24" xfId="0" applyFill="1" applyBorder="1" applyAlignment="1" applyProtection="1">
      <alignment horizontal="center"/>
      <protection locked="0"/>
    </xf>
    <xf numFmtId="0" fontId="0" fillId="0" borderId="19" xfId="0" applyBorder="1" applyProtection="1">
      <protection locked="0"/>
    </xf>
    <xf numFmtId="0" fontId="0" fillId="0" borderId="45" xfId="0" applyBorder="1" applyProtection="1">
      <protection locked="0"/>
    </xf>
    <xf numFmtId="0" fontId="0" fillId="0" borderId="20" xfId="0" applyBorder="1" applyProtection="1">
      <protection locked="0"/>
    </xf>
    <xf numFmtId="0" fontId="0" fillId="0" borderId="48" xfId="0" applyBorder="1" applyProtection="1">
      <protection locked="0"/>
    </xf>
    <xf numFmtId="0" fontId="0" fillId="0" borderId="0" xfId="0" applyProtection="1">
      <protection locked="0"/>
    </xf>
    <xf numFmtId="0" fontId="0" fillId="0" borderId="13" xfId="0" applyBorder="1" applyProtection="1">
      <protection locked="0"/>
    </xf>
    <xf numFmtId="0" fontId="0" fillId="0" borderId="47" xfId="0" applyBorder="1" applyProtection="1">
      <protection locked="0"/>
    </xf>
    <xf numFmtId="0" fontId="0" fillId="0" borderId="18" xfId="0" applyBorder="1" applyProtection="1">
      <protection locked="0"/>
    </xf>
    <xf numFmtId="0" fontId="0" fillId="0" borderId="17" xfId="0" applyBorder="1" applyProtection="1">
      <protection locked="0"/>
    </xf>
    <xf numFmtId="0" fontId="0" fillId="10" borderId="18" xfId="0" applyFill="1" applyBorder="1" applyProtection="1">
      <protection locked="0"/>
    </xf>
    <xf numFmtId="0" fontId="0" fillId="0" borderId="0" xfId="0" applyAlignment="1" applyProtection="1">
      <alignment horizontal="center"/>
      <protection hidden="1"/>
    </xf>
    <xf numFmtId="0" fontId="0" fillId="0" borderId="0" xfId="0" applyProtection="1">
      <protection hidden="1"/>
    </xf>
    <xf numFmtId="0" fontId="7" fillId="2" borderId="0" xfId="0" applyFont="1" applyFill="1" applyAlignment="1" applyProtection="1">
      <alignment horizontal="left"/>
      <protection hidden="1"/>
    </xf>
    <xf numFmtId="0" fontId="0" fillId="2" borderId="52" xfId="0" applyFill="1" applyBorder="1"/>
    <xf numFmtId="0" fontId="0" fillId="2" borderId="52" xfId="0" applyFill="1" applyBorder="1" applyProtection="1">
      <protection hidden="1"/>
    </xf>
    <xf numFmtId="0" fontId="0" fillId="2" borderId="50" xfId="0" applyFill="1" applyBorder="1" applyAlignment="1" applyProtection="1">
      <alignment horizontal="right"/>
      <protection hidden="1"/>
    </xf>
    <xf numFmtId="0" fontId="0" fillId="2" borderId="65" xfId="0" applyFill="1" applyBorder="1" applyAlignment="1" applyProtection="1">
      <alignment horizontal="center" wrapText="1"/>
      <protection hidden="1"/>
    </xf>
    <xf numFmtId="0" fontId="0" fillId="2" borderId="25" xfId="0" applyFill="1" applyBorder="1" applyAlignment="1" applyProtection="1">
      <alignment horizontal="center" wrapText="1"/>
      <protection hidden="1"/>
    </xf>
    <xf numFmtId="0" fontId="0" fillId="2" borderId="66" xfId="0" applyFill="1" applyBorder="1" applyProtection="1">
      <protection hidden="1"/>
    </xf>
    <xf numFmtId="0" fontId="0" fillId="2" borderId="23" xfId="0" applyFill="1" applyBorder="1" applyProtection="1">
      <protection hidden="1"/>
    </xf>
    <xf numFmtId="0" fontId="0" fillId="10" borderId="12" xfId="0" applyFill="1" applyBorder="1" applyProtection="1">
      <protection locked="0"/>
    </xf>
    <xf numFmtId="0" fontId="0" fillId="10" borderId="1" xfId="0" applyFill="1" applyBorder="1" applyProtection="1">
      <protection locked="0"/>
    </xf>
    <xf numFmtId="0" fontId="0" fillId="2" borderId="37" xfId="0" applyFill="1" applyBorder="1" applyProtection="1">
      <protection hidden="1"/>
    </xf>
    <xf numFmtId="0" fontId="2" fillId="2" borderId="32" xfId="0" applyFont="1" applyFill="1" applyBorder="1" applyAlignment="1" applyProtection="1">
      <alignment horizontal="right"/>
      <protection hidden="1"/>
    </xf>
    <xf numFmtId="0" fontId="2" fillId="2" borderId="62" xfId="0" applyFont="1" applyFill="1" applyBorder="1" applyAlignment="1" applyProtection="1">
      <alignment horizontal="center" wrapText="1"/>
      <protection hidden="1"/>
    </xf>
    <xf numFmtId="0" fontId="2" fillId="2" borderId="63" xfId="0" applyFont="1" applyFill="1" applyBorder="1" applyAlignment="1" applyProtection="1">
      <alignment horizontal="center" wrapText="1"/>
      <protection hidden="1"/>
    </xf>
    <xf numFmtId="0" fontId="14" fillId="2" borderId="21" xfId="0" applyFont="1" applyFill="1" applyBorder="1" applyAlignment="1">
      <alignment horizontal="left" vertical="center"/>
    </xf>
    <xf numFmtId="0" fontId="13" fillId="2" borderId="45" xfId="0" applyFont="1" applyFill="1" applyBorder="1" applyAlignment="1">
      <alignment horizontal="center" vertical="top"/>
    </xf>
    <xf numFmtId="0" fontId="13" fillId="2" borderId="0" xfId="0" applyFont="1" applyFill="1" applyAlignment="1">
      <alignment horizontal="center" vertical="top"/>
    </xf>
    <xf numFmtId="0" fontId="13" fillId="2" borderId="27" xfId="0" applyFont="1" applyFill="1" applyBorder="1" applyAlignment="1">
      <alignment horizontal="center" vertical="top"/>
    </xf>
    <xf numFmtId="0" fontId="0" fillId="5" borderId="18" xfId="0" applyFill="1" applyBorder="1" applyAlignment="1" applyProtection="1">
      <alignment horizontal="center"/>
      <protection locked="0"/>
    </xf>
    <xf numFmtId="0" fontId="0" fillId="5" borderId="35" xfId="0" applyFill="1" applyBorder="1" applyAlignment="1" applyProtection="1">
      <alignment horizontal="center"/>
      <protection locked="0"/>
    </xf>
    <xf numFmtId="11" fontId="0" fillId="5" borderId="18" xfId="0" applyNumberFormat="1" applyFill="1" applyBorder="1" applyAlignment="1" applyProtection="1">
      <alignment horizontal="center"/>
      <protection locked="0"/>
    </xf>
    <xf numFmtId="9" fontId="1" fillId="10" borderId="18" xfId="1" applyFont="1" applyFill="1" applyBorder="1" applyAlignment="1" applyProtection="1">
      <alignment horizontal="center"/>
      <protection locked="0"/>
    </xf>
    <xf numFmtId="0" fontId="0" fillId="10" borderId="35" xfId="0" applyFill="1" applyBorder="1" applyProtection="1">
      <protection locked="0"/>
    </xf>
    <xf numFmtId="0" fontId="23" fillId="10" borderId="0" xfId="1" applyNumberFormat="1" applyFont="1" applyFill="1" applyBorder="1" applyAlignment="1" applyProtection="1">
      <alignment horizontal="left"/>
      <protection locked="0" hidden="1"/>
    </xf>
    <xf numFmtId="2" fontId="23" fillId="5" borderId="0" xfId="0" applyNumberFormat="1" applyFont="1" applyFill="1" applyAlignment="1" applyProtection="1">
      <alignment wrapText="1"/>
      <protection locked="0"/>
    </xf>
    <xf numFmtId="0" fontId="0" fillId="5" borderId="26" xfId="0" applyFill="1" applyBorder="1" applyProtection="1">
      <protection locked="0"/>
    </xf>
    <xf numFmtId="0" fontId="0" fillId="5" borderId="24" xfId="0" applyFill="1" applyBorder="1" applyProtection="1">
      <protection locked="0"/>
    </xf>
    <xf numFmtId="0" fontId="0" fillId="0" borderId="8" xfId="0" applyBorder="1"/>
    <xf numFmtId="0" fontId="0" fillId="0" borderId="7" xfId="0" applyBorder="1"/>
    <xf numFmtId="0" fontId="2" fillId="0" borderId="70" xfId="0" applyFont="1" applyBorder="1"/>
    <xf numFmtId="0" fontId="2" fillId="0" borderId="27" xfId="0" applyFont="1" applyBorder="1"/>
    <xf numFmtId="0" fontId="2" fillId="0" borderId="28" xfId="0" applyFont="1" applyBorder="1"/>
    <xf numFmtId="0" fontId="0" fillId="0" borderId="7" xfId="0"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2" fontId="0" fillId="0" borderId="0" xfId="0" applyNumberFormat="1" applyAlignment="1">
      <alignment horizontal="center" vertical="center"/>
    </xf>
    <xf numFmtId="0" fontId="2" fillId="0" borderId="27" xfId="0" applyFont="1" applyBorder="1" applyAlignment="1">
      <alignment horizontal="left" vertical="center"/>
    </xf>
    <xf numFmtId="0" fontId="0" fillId="0" borderId="0" xfId="0" applyAlignment="1">
      <alignment horizontal="left" vertical="center"/>
    </xf>
    <xf numFmtId="0" fontId="5" fillId="12" borderId="3" xfId="0" applyFont="1" applyFill="1" applyBorder="1" applyAlignment="1">
      <alignment horizontal="left" vertical="center" wrapText="1"/>
    </xf>
    <xf numFmtId="0" fontId="0" fillId="0" borderId="3" xfId="0" applyBorder="1" applyAlignment="1">
      <alignment horizontal="left" vertical="center"/>
    </xf>
    <xf numFmtId="0" fontId="0" fillId="12" borderId="4" xfId="0" applyFill="1" applyBorder="1" applyAlignment="1">
      <alignment horizontal="left" vertical="center"/>
    </xf>
    <xf numFmtId="0" fontId="0" fillId="0" borderId="4" xfId="0" applyBorder="1" applyAlignment="1">
      <alignment horizontal="left" vertical="center"/>
    </xf>
    <xf numFmtId="0" fontId="5" fillId="12" borderId="4" xfId="0" applyFont="1" applyFill="1" applyBorder="1" applyAlignment="1">
      <alignment horizontal="left" vertical="center"/>
    </xf>
    <xf numFmtId="0" fontId="5" fillId="0" borderId="4" xfId="0" applyFont="1" applyBorder="1" applyAlignment="1">
      <alignment horizontal="left" vertical="center"/>
    </xf>
    <xf numFmtId="0" fontId="2" fillId="12" borderId="4" xfId="0" applyFont="1" applyFill="1" applyBorder="1" applyAlignment="1">
      <alignment horizontal="left" vertical="center"/>
    </xf>
    <xf numFmtId="0" fontId="2" fillId="0" borderId="4" xfId="0" applyFont="1" applyBorder="1" applyAlignment="1">
      <alignment horizontal="left" vertical="center"/>
    </xf>
    <xf numFmtId="0" fontId="0" fillId="0" borderId="5" xfId="0" applyBorder="1" applyAlignment="1">
      <alignment horizontal="left" vertical="center"/>
    </xf>
    <xf numFmtId="0" fontId="2" fillId="0" borderId="71" xfId="0" applyFont="1" applyBorder="1"/>
    <xf numFmtId="0" fontId="2" fillId="0" borderId="72" xfId="0" applyFont="1" applyBorder="1"/>
    <xf numFmtId="164" fontId="23" fillId="10" borderId="0" xfId="1" applyNumberFormat="1" applyFont="1" applyFill="1" applyBorder="1" applyAlignment="1" applyProtection="1">
      <alignment horizontal="left"/>
      <protection locked="0" hidden="1"/>
    </xf>
    <xf numFmtId="0" fontId="5" fillId="0" borderId="6" xfId="0" applyFont="1" applyBorder="1" applyAlignment="1">
      <alignment vertical="center" wrapText="1"/>
    </xf>
    <xf numFmtId="0" fontId="5" fillId="0" borderId="9" xfId="0" applyFont="1" applyBorder="1" applyAlignment="1">
      <alignment vertical="center" wrapText="1"/>
    </xf>
    <xf numFmtId="0" fontId="5" fillId="0" borderId="9" xfId="0" applyFont="1" applyBorder="1" applyAlignment="1">
      <alignment vertical="center"/>
    </xf>
    <xf numFmtId="0" fontId="5" fillId="0" borderId="10" xfId="0" applyFont="1" applyBorder="1" applyAlignment="1">
      <alignment vertical="center" wrapText="1"/>
    </xf>
    <xf numFmtId="0" fontId="37" fillId="0" borderId="27" xfId="0" applyFont="1" applyBorder="1"/>
    <xf numFmtId="164" fontId="0" fillId="0" borderId="0" xfId="0" applyNumberFormat="1" applyAlignment="1">
      <alignment horizontal="center"/>
    </xf>
    <xf numFmtId="164" fontId="0" fillId="0" borderId="0" xfId="0" applyNumberFormat="1"/>
    <xf numFmtId="0" fontId="0" fillId="12" borderId="0" xfId="0" applyFill="1" applyAlignment="1">
      <alignment horizontal="left"/>
    </xf>
    <xf numFmtId="0" fontId="0" fillId="0" borderId="73" xfId="0" applyBorder="1" applyAlignment="1">
      <alignment horizontal="left"/>
    </xf>
    <xf numFmtId="0" fontId="7" fillId="0" borderId="0" xfId="0" applyFont="1"/>
    <xf numFmtId="1" fontId="0" fillId="0" borderId="0" xfId="0" applyNumberFormat="1"/>
    <xf numFmtId="0" fontId="2" fillId="2" borderId="10" xfId="0" applyFont="1" applyFill="1" applyBorder="1" applyAlignment="1" applyProtection="1">
      <alignment horizontal="right"/>
      <protection locked="0" hidden="1"/>
    </xf>
    <xf numFmtId="1" fontId="0" fillId="2" borderId="28" xfId="0" applyNumberFormat="1" applyFill="1" applyBorder="1" applyAlignment="1" applyProtection="1">
      <alignment horizontal="left"/>
      <protection locked="0" hidden="1"/>
    </xf>
    <xf numFmtId="0" fontId="0" fillId="13" borderId="0" xfId="0" applyFill="1"/>
    <xf numFmtId="0" fontId="0" fillId="2" borderId="33" xfId="0" applyFill="1" applyBorder="1" applyAlignment="1" applyProtection="1">
      <alignment horizontal="center" wrapText="1"/>
      <protection hidden="1"/>
    </xf>
    <xf numFmtId="0" fontId="0" fillId="2" borderId="34" xfId="0" applyFill="1" applyBorder="1" applyAlignment="1" applyProtection="1">
      <alignment horizontal="center" wrapText="1"/>
      <protection hidden="1"/>
    </xf>
    <xf numFmtId="0" fontId="0" fillId="2" borderId="74" xfId="0" applyFill="1" applyBorder="1" applyAlignment="1" applyProtection="1">
      <alignment horizontal="center" wrapText="1"/>
      <protection hidden="1"/>
    </xf>
    <xf numFmtId="0" fontId="0" fillId="2" borderId="49" xfId="0" applyFill="1" applyBorder="1"/>
    <xf numFmtId="0" fontId="0" fillId="2" borderId="50" xfId="0" applyFill="1" applyBorder="1"/>
    <xf numFmtId="0" fontId="0" fillId="2" borderId="28" xfId="0" applyFill="1" applyBorder="1" applyAlignment="1" applyProtection="1">
      <alignment horizontal="center"/>
      <protection hidden="1"/>
    </xf>
    <xf numFmtId="0" fontId="0" fillId="10" borderId="65" xfId="0" applyFill="1" applyBorder="1" applyAlignment="1" applyProtection="1">
      <alignment horizontal="center"/>
      <protection locked="0"/>
    </xf>
    <xf numFmtId="0" fontId="0" fillId="10" borderId="69" xfId="0" applyFill="1" applyBorder="1" applyAlignment="1" applyProtection="1">
      <alignment horizontal="center"/>
      <protection locked="0"/>
    </xf>
    <xf numFmtId="0" fontId="0" fillId="10" borderId="36" xfId="0" applyFill="1" applyBorder="1" applyAlignment="1" applyProtection="1">
      <alignment horizontal="center"/>
      <protection locked="0"/>
    </xf>
    <xf numFmtId="0" fontId="0" fillId="10" borderId="12" xfId="0" applyFill="1" applyBorder="1" applyAlignment="1" applyProtection="1">
      <alignment horizontal="center"/>
      <protection locked="0"/>
    </xf>
    <xf numFmtId="0" fontId="0" fillId="10" borderId="58" xfId="0" applyFill="1" applyBorder="1" applyAlignment="1" applyProtection="1">
      <alignment horizontal="center"/>
      <protection locked="0"/>
    </xf>
    <xf numFmtId="0" fontId="0" fillId="10" borderId="38" xfId="0" applyFill="1" applyBorder="1" applyAlignment="1" applyProtection="1">
      <alignment horizontal="center"/>
      <protection locked="0"/>
    </xf>
    <xf numFmtId="0" fontId="0" fillId="10" borderId="66" xfId="0" applyFill="1" applyBorder="1" applyAlignment="1" applyProtection="1">
      <alignment horizontal="center"/>
      <protection locked="0"/>
    </xf>
    <xf numFmtId="0" fontId="0" fillId="10" borderId="75" xfId="0" applyFill="1" applyBorder="1" applyAlignment="1" applyProtection="1">
      <alignment horizontal="center"/>
      <protection locked="0"/>
    </xf>
    <xf numFmtId="0" fontId="2" fillId="2" borderId="1" xfId="0" applyFont="1" applyFill="1" applyBorder="1" applyAlignment="1" applyProtection="1">
      <alignment horizontal="center"/>
      <protection locked="0" hidden="1"/>
    </xf>
    <xf numFmtId="0" fontId="0" fillId="2" borderId="32" xfId="0" applyFill="1" applyBorder="1" applyAlignment="1" applyProtection="1">
      <alignment horizontal="center" wrapText="1"/>
      <protection hidden="1"/>
    </xf>
    <xf numFmtId="164" fontId="0" fillId="2" borderId="7" xfId="0" applyNumberFormat="1" applyFill="1" applyBorder="1" applyAlignment="1" applyProtection="1">
      <alignment horizontal="left"/>
      <protection locked="0" hidden="1"/>
    </xf>
    <xf numFmtId="0" fontId="2" fillId="2" borderId="7" xfId="0" applyFont="1" applyFill="1" applyBorder="1" applyAlignment="1" applyProtection="1">
      <alignment horizontal="right"/>
      <protection locked="0" hidden="1"/>
    </xf>
    <xf numFmtId="0" fontId="0" fillId="2" borderId="8" xfId="0" applyFill="1" applyBorder="1" applyAlignment="1" applyProtection="1">
      <alignment horizontal="left"/>
      <protection locked="0" hidden="1"/>
    </xf>
    <xf numFmtId="0" fontId="0" fillId="2" borderId="21" xfId="0" applyFill="1" applyBorder="1" applyAlignment="1" applyProtection="1">
      <alignment horizontal="left"/>
      <protection locked="0" hidden="1"/>
    </xf>
    <xf numFmtId="1" fontId="0" fillId="2" borderId="27" xfId="0" applyNumberFormat="1" applyFill="1" applyBorder="1" applyAlignment="1" applyProtection="1">
      <alignment horizontal="left"/>
      <protection locked="0" hidden="1"/>
    </xf>
    <xf numFmtId="2" fontId="0" fillId="2" borderId="28" xfId="0" applyNumberFormat="1" applyFill="1" applyBorder="1" applyAlignment="1" applyProtection="1">
      <alignment horizontal="left"/>
      <protection locked="0" hidden="1"/>
    </xf>
    <xf numFmtId="0" fontId="9" fillId="2" borderId="0" xfId="0" applyFont="1" applyFill="1" applyAlignment="1" applyProtection="1">
      <alignment horizontal="center" wrapText="1"/>
      <protection locked="0" hidden="1"/>
    </xf>
    <xf numFmtId="166" fontId="0" fillId="2" borderId="27" xfId="0" applyNumberFormat="1" applyFill="1" applyBorder="1" applyAlignment="1" applyProtection="1">
      <alignment horizontal="left"/>
      <protection locked="0" hidden="1"/>
    </xf>
    <xf numFmtId="1" fontId="0" fillId="2" borderId="31" xfId="0" applyNumberFormat="1" applyFill="1" applyBorder="1" applyAlignment="1" applyProtection="1">
      <alignment horizontal="center"/>
      <protection locked="0" hidden="1"/>
    </xf>
    <xf numFmtId="167" fontId="0" fillId="2" borderId="0" xfId="0" applyNumberFormat="1" applyFill="1" applyAlignment="1" applyProtection="1">
      <alignment horizontal="center"/>
      <protection locked="0" hidden="1"/>
    </xf>
    <xf numFmtId="0" fontId="9" fillId="2" borderId="9" xfId="0" applyFont="1" applyFill="1" applyBorder="1" applyAlignment="1" applyProtection="1">
      <alignment horizontal="center" wrapText="1"/>
      <protection locked="0" hidden="1"/>
    </xf>
    <xf numFmtId="0" fontId="2" fillId="2" borderId="29" xfId="0" applyFont="1" applyFill="1" applyBorder="1" applyAlignment="1" applyProtection="1">
      <alignment horizontal="right"/>
      <protection locked="0" hidden="1"/>
    </xf>
    <xf numFmtId="0" fontId="0" fillId="2" borderId="0" xfId="0" applyFill="1" applyAlignment="1" applyProtection="1">
      <alignment horizontal="right"/>
      <protection locked="0" hidden="1"/>
    </xf>
    <xf numFmtId="0" fontId="2" fillId="2" borderId="1" xfId="0" applyFont="1" applyFill="1" applyBorder="1" applyProtection="1">
      <protection locked="0" hidden="1"/>
    </xf>
    <xf numFmtId="1" fontId="0" fillId="2" borderId="0" xfId="0" applyNumberFormat="1" applyFill="1" applyProtection="1">
      <protection locked="0" hidden="1"/>
    </xf>
    <xf numFmtId="1" fontId="0" fillId="2" borderId="1" xfId="0" applyNumberFormat="1" applyFill="1" applyBorder="1" applyProtection="1">
      <protection locked="0" hidden="1"/>
    </xf>
    <xf numFmtId="1" fontId="0" fillId="2" borderId="1" xfId="0" applyNumberFormat="1" applyFill="1" applyBorder="1" applyAlignment="1" applyProtection="1">
      <alignment horizontal="center"/>
      <protection locked="0" hidden="1"/>
    </xf>
    <xf numFmtId="166" fontId="0" fillId="2" borderId="1" xfId="0" applyNumberFormat="1" applyFill="1" applyBorder="1" applyAlignment="1" applyProtection="1">
      <alignment horizontal="center"/>
      <protection locked="0" hidden="1"/>
    </xf>
    <xf numFmtId="2" fontId="0" fillId="2" borderId="1" xfId="1" applyNumberFormat="1" applyFont="1" applyFill="1" applyBorder="1" applyAlignment="1" applyProtection="1">
      <alignment horizontal="center"/>
      <protection locked="0" hidden="1"/>
    </xf>
    <xf numFmtId="166" fontId="0" fillId="2" borderId="0" xfId="0" applyNumberFormat="1" applyFill="1" applyProtection="1">
      <protection locked="0" hidden="1"/>
    </xf>
    <xf numFmtId="169" fontId="0" fillId="2" borderId="0" xfId="0" applyNumberFormat="1" applyFill="1" applyProtection="1">
      <protection locked="0" hidden="1"/>
    </xf>
    <xf numFmtId="0" fontId="0" fillId="12" borderId="7" xfId="0" applyFill="1" applyBorder="1"/>
    <xf numFmtId="0" fontId="0" fillId="12" borderId="0" xfId="0" applyFill="1"/>
    <xf numFmtId="0" fontId="0" fillId="12" borderId="0" xfId="0" applyFill="1" applyAlignment="1">
      <alignment horizontal="left" vertical="center"/>
    </xf>
    <xf numFmtId="0" fontId="0" fillId="12" borderId="73" xfId="0" applyFill="1" applyBorder="1" applyAlignment="1">
      <alignment horizontal="left"/>
    </xf>
    <xf numFmtId="2" fontId="0" fillId="0" borderId="0" xfId="0" applyNumberFormat="1" applyAlignment="1">
      <alignment horizontal="center"/>
    </xf>
    <xf numFmtId="0" fontId="0" fillId="2" borderId="21" xfId="0" applyFill="1" applyBorder="1" applyAlignment="1" applyProtection="1">
      <alignment horizontal="center"/>
      <protection locked="0" hidden="1"/>
    </xf>
    <xf numFmtId="0" fontId="2" fillId="2" borderId="6" xfId="0" applyFont="1" applyFill="1" applyBorder="1" applyAlignment="1" applyProtection="1">
      <alignment horizontal="center"/>
      <protection locked="0" hidden="1"/>
    </xf>
    <xf numFmtId="0" fontId="9" fillId="2" borderId="9" xfId="0" quotePrefix="1" applyFont="1" applyFill="1" applyBorder="1" applyAlignment="1" applyProtection="1">
      <alignment horizontal="center" wrapText="1"/>
      <protection locked="0" hidden="1"/>
    </xf>
    <xf numFmtId="170" fontId="0" fillId="2" borderId="0" xfId="0" applyNumberFormat="1" applyFill="1" applyAlignment="1" applyProtection="1">
      <alignment horizontal="center"/>
      <protection locked="0" hidden="1"/>
    </xf>
    <xf numFmtId="1" fontId="0" fillId="2" borderId="9" xfId="0" applyNumberFormat="1" applyFill="1" applyBorder="1" applyAlignment="1" applyProtection="1">
      <alignment horizontal="center"/>
      <protection locked="0" hidden="1"/>
    </xf>
    <xf numFmtId="9" fontId="23" fillId="10" borderId="0" xfId="1" applyFont="1" applyFill="1" applyBorder="1" applyAlignment="1" applyProtection="1">
      <protection locked="0" hidden="1"/>
    </xf>
    <xf numFmtId="167" fontId="0" fillId="2" borderId="27" xfId="0" applyNumberFormat="1" applyFill="1" applyBorder="1" applyProtection="1">
      <protection locked="0" hidden="1"/>
    </xf>
    <xf numFmtId="167" fontId="0" fillId="2" borderId="7" xfId="0" applyNumberFormat="1" applyFill="1" applyBorder="1" applyProtection="1">
      <protection locked="0" hidden="1"/>
    </xf>
    <xf numFmtId="167" fontId="0" fillId="2" borderId="0" xfId="0" applyNumberFormat="1" applyFill="1" applyProtection="1">
      <protection locked="0" hidden="1"/>
    </xf>
    <xf numFmtId="167" fontId="0" fillId="2" borderId="30" xfId="0" applyNumberFormat="1" applyFill="1" applyBorder="1" applyProtection="1">
      <protection locked="0" hidden="1"/>
    </xf>
    <xf numFmtId="167" fontId="9" fillId="2" borderId="0" xfId="0" quotePrefix="1" applyNumberFormat="1" applyFont="1" applyFill="1" applyAlignment="1" applyProtection="1">
      <alignment horizontal="center" wrapText="1"/>
      <protection locked="0" hidden="1"/>
    </xf>
    <xf numFmtId="167" fontId="0" fillId="2" borderId="27" xfId="0" applyNumberFormat="1" applyFill="1" applyBorder="1" applyAlignment="1" applyProtection="1">
      <alignment horizontal="center"/>
      <protection locked="0" hidden="1"/>
    </xf>
    <xf numFmtId="167" fontId="2" fillId="2" borderId="0" xfId="0" applyNumberFormat="1" applyFont="1" applyFill="1" applyProtection="1">
      <protection locked="0" hidden="1"/>
    </xf>
    <xf numFmtId="167" fontId="2" fillId="2" borderId="0" xfId="0" applyNumberFormat="1" applyFont="1" applyFill="1" applyAlignment="1" applyProtection="1">
      <alignment horizontal="right"/>
      <protection locked="0" hidden="1"/>
    </xf>
    <xf numFmtId="168" fontId="0" fillId="2" borderId="1" xfId="0" applyNumberFormat="1" applyFill="1" applyBorder="1" applyAlignment="1" applyProtection="1">
      <alignment horizontal="center"/>
      <protection locked="0" hidden="1"/>
    </xf>
    <xf numFmtId="0" fontId="2" fillId="2" borderId="22" xfId="0" applyFont="1" applyFill="1" applyBorder="1" applyAlignment="1" applyProtection="1">
      <alignment horizontal="center" wrapText="1"/>
      <protection hidden="1"/>
    </xf>
    <xf numFmtId="0" fontId="0" fillId="2" borderId="57" xfId="0" applyFill="1" applyBorder="1" applyAlignment="1" applyProtection="1">
      <alignment horizontal="right"/>
      <protection hidden="1"/>
    </xf>
    <xf numFmtId="0" fontId="2" fillId="0" borderId="16" xfId="0" applyFont="1"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164" fontId="0" fillId="0" borderId="16" xfId="0" applyNumberFormat="1" applyBorder="1" applyAlignment="1" applyProtection="1">
      <alignment horizontal="center"/>
      <protection hidden="1"/>
    </xf>
    <xf numFmtId="170" fontId="0" fillId="0" borderId="16" xfId="0" applyNumberFormat="1" applyBorder="1" applyAlignment="1" applyProtection="1">
      <alignment horizontal="center"/>
      <protection hidden="1"/>
    </xf>
    <xf numFmtId="0" fontId="0" fillId="5" borderId="2" xfId="0" applyFill="1" applyBorder="1" applyAlignment="1" applyProtection="1">
      <alignment horizontal="center"/>
      <protection locked="0"/>
    </xf>
    <xf numFmtId="0" fontId="40" fillId="0" borderId="16" xfId="0" applyFont="1" applyBorder="1" applyProtection="1">
      <protection hidden="1"/>
    </xf>
    <xf numFmtId="0" fontId="40" fillId="0" borderId="16" xfId="0" applyFont="1" applyBorder="1" applyAlignment="1" applyProtection="1">
      <alignment horizontal="center"/>
      <protection hidden="1"/>
    </xf>
    <xf numFmtId="164" fontId="40" fillId="0" borderId="16" xfId="0" applyNumberFormat="1" applyFont="1" applyBorder="1" applyAlignment="1" applyProtection="1">
      <alignment horizontal="center"/>
      <protection hidden="1"/>
    </xf>
    <xf numFmtId="170" fontId="40" fillId="0" borderId="16" xfId="0" applyNumberFormat="1" applyFont="1" applyBorder="1" applyAlignment="1" applyProtection="1">
      <alignment horizontal="center"/>
      <protection hidden="1"/>
    </xf>
    <xf numFmtId="1" fontId="40" fillId="0" borderId="16" xfId="0" applyNumberFormat="1" applyFont="1" applyBorder="1" applyAlignment="1" applyProtection="1">
      <alignment horizontal="center"/>
      <protection hidden="1"/>
    </xf>
    <xf numFmtId="0" fontId="0" fillId="2" borderId="6" xfId="0" quotePrefix="1" applyFill="1" applyBorder="1" applyAlignment="1">
      <alignment horizontal="left" vertical="top" wrapText="1"/>
    </xf>
    <xf numFmtId="0" fontId="0" fillId="2" borderId="7" xfId="0" quotePrefix="1" applyFill="1" applyBorder="1" applyAlignment="1">
      <alignment horizontal="left" vertical="top" wrapText="1"/>
    </xf>
    <xf numFmtId="0" fontId="0" fillId="2" borderId="8" xfId="0" quotePrefix="1" applyFill="1" applyBorder="1" applyAlignment="1">
      <alignment horizontal="left" vertical="top" wrapText="1"/>
    </xf>
    <xf numFmtId="0" fontId="0" fillId="2" borderId="10" xfId="0" quotePrefix="1" applyFill="1" applyBorder="1" applyAlignment="1">
      <alignment horizontal="left" vertical="top" wrapText="1"/>
    </xf>
    <xf numFmtId="0" fontId="0" fillId="2" borderId="27" xfId="0" quotePrefix="1" applyFill="1" applyBorder="1" applyAlignment="1">
      <alignment horizontal="left" vertical="top" wrapText="1"/>
    </xf>
    <xf numFmtId="0" fontId="0" fillId="2" borderId="28" xfId="0" quotePrefix="1" applyFill="1" applyBorder="1" applyAlignment="1">
      <alignment horizontal="left" vertical="top" wrapText="1"/>
    </xf>
    <xf numFmtId="0" fontId="3" fillId="3" borderId="29" xfId="0" applyFont="1" applyFill="1" applyBorder="1" applyAlignment="1">
      <alignment horizontal="left" vertical="top"/>
    </xf>
    <xf numFmtId="0" fontId="3" fillId="3" borderId="30" xfId="0" applyFont="1" applyFill="1" applyBorder="1" applyAlignment="1">
      <alignment horizontal="left" vertical="top"/>
    </xf>
    <xf numFmtId="0" fontId="3" fillId="3" borderId="31" xfId="0" applyFont="1" applyFill="1" applyBorder="1" applyAlignment="1">
      <alignment horizontal="left" vertical="top"/>
    </xf>
    <xf numFmtId="49" fontId="14" fillId="2" borderId="6" xfId="0" applyNumberFormat="1" applyFont="1" applyFill="1" applyBorder="1" applyAlignment="1">
      <alignment horizontal="left" vertical="top" wrapText="1"/>
    </xf>
    <xf numFmtId="49" fontId="14" fillId="2" borderId="7" xfId="0" applyNumberFormat="1" applyFont="1" applyFill="1" applyBorder="1" applyAlignment="1">
      <alignment horizontal="left" vertical="top" wrapText="1"/>
    </xf>
    <xf numFmtId="49" fontId="14" fillId="2" borderId="8" xfId="0" applyNumberFormat="1" applyFont="1" applyFill="1" applyBorder="1" applyAlignment="1">
      <alignment horizontal="left" vertical="top" wrapText="1"/>
    </xf>
    <xf numFmtId="49" fontId="14" fillId="2" borderId="10" xfId="0" applyNumberFormat="1" applyFont="1" applyFill="1" applyBorder="1" applyAlignment="1">
      <alignment horizontal="left" vertical="top" wrapText="1"/>
    </xf>
    <xf numFmtId="49" fontId="14" fillId="2" borderId="27" xfId="0" applyNumberFormat="1" applyFont="1" applyFill="1" applyBorder="1" applyAlignment="1">
      <alignment horizontal="left" vertical="top" wrapText="1"/>
    </xf>
    <xf numFmtId="49" fontId="14" fillId="2" borderId="28" xfId="0" applyNumberFormat="1" applyFont="1" applyFill="1" applyBorder="1" applyAlignment="1">
      <alignment horizontal="left" vertical="top" wrapText="1"/>
    </xf>
    <xf numFmtId="0" fontId="3" fillId="3" borderId="6" xfId="0" applyFont="1" applyFill="1" applyBorder="1" applyAlignment="1">
      <alignment horizontal="left" vertical="top"/>
    </xf>
    <xf numFmtId="0" fontId="3" fillId="3" borderId="7" xfId="0" applyFont="1" applyFill="1" applyBorder="1" applyAlignment="1">
      <alignment horizontal="left" vertical="top"/>
    </xf>
    <xf numFmtId="0" fontId="3" fillId="3" borderId="8" xfId="0" applyFont="1" applyFill="1" applyBorder="1" applyAlignment="1">
      <alignment horizontal="left" vertical="top"/>
    </xf>
    <xf numFmtId="0" fontId="13" fillId="2" borderId="44" xfId="0" applyFont="1" applyFill="1" applyBorder="1" applyAlignment="1">
      <alignment horizontal="center" vertical="top"/>
    </xf>
    <xf numFmtId="0" fontId="13" fillId="2" borderId="9" xfId="0" applyFont="1" applyFill="1" applyBorder="1" applyAlignment="1">
      <alignment horizontal="center" vertical="top"/>
    </xf>
    <xf numFmtId="0" fontId="14" fillId="2" borderId="0" xfId="0" applyFont="1" applyFill="1" applyAlignment="1">
      <alignment horizontal="left" vertical="top"/>
    </xf>
    <xf numFmtId="0" fontId="14" fillId="2" borderId="21" xfId="0" applyFont="1" applyFill="1" applyBorder="1" applyAlignment="1">
      <alignment horizontal="left" vertical="top"/>
    </xf>
    <xf numFmtId="0" fontId="14" fillId="2" borderId="45" xfId="0" applyFont="1" applyFill="1" applyBorder="1" applyAlignment="1">
      <alignment horizontal="left" vertical="top" wrapText="1"/>
    </xf>
    <xf numFmtId="0" fontId="14" fillId="2" borderId="46" xfId="0" applyFont="1" applyFill="1" applyBorder="1" applyAlignment="1">
      <alignment horizontal="left" vertical="top" wrapText="1"/>
    </xf>
    <xf numFmtId="0" fontId="14" fillId="2" borderId="67" xfId="0" applyFont="1" applyFill="1" applyBorder="1" applyAlignment="1">
      <alignment horizontal="left" vertical="top" wrapText="1"/>
    </xf>
    <xf numFmtId="0" fontId="14" fillId="2" borderId="68" xfId="0" applyFont="1" applyFill="1" applyBorder="1" applyAlignment="1">
      <alignment horizontal="left" vertical="top" wrapText="1"/>
    </xf>
    <xf numFmtId="0" fontId="14" fillId="2" borderId="69" xfId="0" applyFont="1" applyFill="1" applyBorder="1" applyAlignment="1">
      <alignment horizontal="left" vertical="top" wrapText="1"/>
    </xf>
    <xf numFmtId="0" fontId="14" fillId="2" borderId="11" xfId="0" applyFont="1" applyFill="1" applyBorder="1" applyAlignment="1">
      <alignment horizontal="left" vertical="top"/>
    </xf>
    <xf numFmtId="0" fontId="14" fillId="2" borderId="35" xfId="0" applyFont="1" applyFill="1" applyBorder="1" applyAlignment="1">
      <alignment horizontal="left" vertical="top"/>
    </xf>
    <xf numFmtId="0" fontId="14" fillId="2" borderId="58" xfId="0" applyFont="1" applyFill="1" applyBorder="1" applyAlignment="1">
      <alignment horizontal="left" vertical="top"/>
    </xf>
    <xf numFmtId="0" fontId="4" fillId="3" borderId="10" xfId="0" applyFont="1" applyFill="1" applyBorder="1" applyAlignment="1">
      <alignment horizontal="left"/>
    </xf>
    <xf numFmtId="0" fontId="4" fillId="3" borderId="27" xfId="0" applyFont="1" applyFill="1" applyBorder="1" applyAlignment="1">
      <alignment horizontal="left"/>
    </xf>
    <xf numFmtId="0" fontId="4" fillId="3" borderId="28" xfId="0" applyFont="1" applyFill="1" applyBorder="1" applyAlignment="1">
      <alignment horizontal="left"/>
    </xf>
    <xf numFmtId="0" fontId="2" fillId="3" borderId="47" xfId="0" applyFont="1" applyFill="1" applyBorder="1" applyAlignment="1" applyProtection="1">
      <alignment horizontal="center" vertical="center" wrapText="1"/>
      <protection hidden="1"/>
    </xf>
    <xf numFmtId="0" fontId="2" fillId="3" borderId="18" xfId="0" applyFont="1" applyFill="1" applyBorder="1" applyAlignment="1" applyProtection="1">
      <alignment horizontal="center" vertical="center" wrapText="1"/>
      <protection hidden="1"/>
    </xf>
    <xf numFmtId="0" fontId="2" fillId="3" borderId="17"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protection hidden="1"/>
    </xf>
    <xf numFmtId="0" fontId="2" fillId="3" borderId="47" xfId="0" applyFont="1" applyFill="1" applyBorder="1" applyAlignment="1" applyProtection="1">
      <alignment horizontal="center"/>
      <protection hidden="1"/>
    </xf>
    <xf numFmtId="0" fontId="2" fillId="3" borderId="17" xfId="0" applyFont="1" applyFill="1" applyBorder="1" applyAlignment="1" applyProtection="1">
      <alignment horizontal="center"/>
      <protection hidden="1"/>
    </xf>
    <xf numFmtId="0" fontId="2" fillId="3" borderId="11" xfId="0" applyFont="1" applyFill="1" applyBorder="1" applyAlignment="1" applyProtection="1">
      <alignment horizontal="center"/>
      <protection hidden="1"/>
    </xf>
    <xf numFmtId="0" fontId="2" fillId="3" borderId="35" xfId="0" applyFont="1" applyFill="1" applyBorder="1" applyAlignment="1" applyProtection="1">
      <alignment horizontal="center"/>
      <protection hidden="1"/>
    </xf>
    <xf numFmtId="0" fontId="2" fillId="3" borderId="12" xfId="0" applyFont="1" applyFill="1" applyBorder="1" applyAlignment="1" applyProtection="1">
      <alignment horizontal="center"/>
      <protection hidden="1"/>
    </xf>
    <xf numFmtId="0" fontId="2" fillId="3" borderId="48" xfId="0" applyFont="1" applyFill="1" applyBorder="1" applyAlignment="1" applyProtection="1">
      <alignment horizontal="center"/>
      <protection hidden="1"/>
    </xf>
    <xf numFmtId="0" fontId="2" fillId="3" borderId="18" xfId="0" applyFont="1" applyFill="1" applyBorder="1" applyAlignment="1" applyProtection="1">
      <alignment horizontal="center"/>
      <protection hidden="1"/>
    </xf>
    <xf numFmtId="0" fontId="2" fillId="3" borderId="19" xfId="0" applyFont="1" applyFill="1" applyBorder="1" applyAlignment="1" applyProtection="1">
      <alignment horizontal="center"/>
      <protection hidden="1"/>
    </xf>
    <xf numFmtId="0" fontId="2" fillId="3" borderId="20" xfId="0" applyFont="1" applyFill="1" applyBorder="1" applyAlignment="1" applyProtection="1">
      <alignment horizontal="center"/>
      <protection hidden="1"/>
    </xf>
    <xf numFmtId="0" fontId="2" fillId="3" borderId="45" xfId="0" applyFont="1" applyFill="1" applyBorder="1" applyAlignment="1" applyProtection="1">
      <alignment horizontal="center"/>
      <protection hidden="1"/>
    </xf>
    <xf numFmtId="0" fontId="2" fillId="2" borderId="45" xfId="0" applyFont="1" applyFill="1" applyBorder="1" applyAlignment="1" applyProtection="1">
      <alignment horizontal="left" vertical="top" wrapText="1"/>
      <protection hidden="1"/>
    </xf>
    <xf numFmtId="0" fontId="0" fillId="2" borderId="0" xfId="0" applyFill="1" applyAlignment="1" applyProtection="1">
      <alignment horizontal="left" vertical="top" wrapText="1"/>
      <protection hidden="1"/>
    </xf>
    <xf numFmtId="0" fontId="2" fillId="3" borderId="19" xfId="0" applyFont="1" applyFill="1" applyBorder="1" applyAlignment="1" applyProtection="1">
      <alignment horizontal="center" vertical="center" wrapText="1"/>
      <protection hidden="1"/>
    </xf>
    <xf numFmtId="0" fontId="2" fillId="3" borderId="45" xfId="0" applyFont="1" applyFill="1" applyBorder="1" applyAlignment="1" applyProtection="1">
      <alignment horizontal="center" vertical="center" wrapText="1"/>
      <protection hidden="1"/>
    </xf>
    <xf numFmtId="0" fontId="2" fillId="3" borderId="20" xfId="0" applyFont="1" applyFill="1" applyBorder="1" applyAlignment="1" applyProtection="1">
      <alignment horizontal="center" vertical="center" wrapText="1"/>
      <protection hidden="1"/>
    </xf>
    <xf numFmtId="0" fontId="35" fillId="11" borderId="0" xfId="0" applyFont="1" applyFill="1" applyAlignment="1" applyProtection="1">
      <alignment horizontal="center" vertical="center"/>
      <protection hidden="1"/>
    </xf>
    <xf numFmtId="0" fontId="25" fillId="2" borderId="29" xfId="0" applyFont="1" applyFill="1" applyBorder="1" applyAlignment="1" applyProtection="1">
      <alignment horizontal="center"/>
      <protection hidden="1"/>
    </xf>
    <xf numFmtId="0" fontId="25" fillId="2" borderId="30" xfId="0" applyFont="1" applyFill="1" applyBorder="1" applyAlignment="1" applyProtection="1">
      <alignment horizontal="center"/>
      <protection hidden="1"/>
    </xf>
    <xf numFmtId="0" fontId="25" fillId="2" borderId="31" xfId="0" applyFont="1" applyFill="1" applyBorder="1" applyAlignment="1" applyProtection="1">
      <alignment horizontal="center"/>
      <protection hidden="1"/>
    </xf>
    <xf numFmtId="2" fontId="23" fillId="5" borderId="0" xfId="0" applyNumberFormat="1" applyFont="1" applyFill="1" applyAlignment="1" applyProtection="1">
      <alignment horizontal="left" wrapText="1"/>
      <protection locked="0"/>
    </xf>
    <xf numFmtId="0" fontId="13" fillId="5" borderId="35" xfId="0" applyFont="1" applyFill="1" applyBorder="1" applyProtection="1">
      <protection locked="0" hidden="1"/>
    </xf>
    <xf numFmtId="0" fontId="4" fillId="2" borderId="54" xfId="0" applyFont="1" applyFill="1" applyBorder="1" applyAlignment="1">
      <alignment horizontal="left"/>
    </xf>
    <xf numFmtId="0" fontId="23" fillId="5" borderId="0" xfId="0" applyFont="1" applyFill="1" applyAlignment="1" applyProtection="1">
      <alignment horizontal="left"/>
      <protection locked="0" hidden="1"/>
    </xf>
    <xf numFmtId="0" fontId="18" fillId="3" borderId="29" xfId="0" applyFont="1" applyFill="1" applyBorder="1" applyAlignment="1" applyProtection="1">
      <alignment horizontal="center" vertical="center"/>
      <protection hidden="1"/>
    </xf>
    <xf numFmtId="0" fontId="18" fillId="3" borderId="30" xfId="0" applyFont="1" applyFill="1" applyBorder="1" applyAlignment="1" applyProtection="1">
      <alignment horizontal="center" vertical="center"/>
      <protection hidden="1"/>
    </xf>
    <xf numFmtId="0" fontId="18" fillId="3" borderId="31" xfId="0" applyFont="1" applyFill="1" applyBorder="1" applyAlignment="1" applyProtection="1">
      <alignment horizontal="center" vertical="center"/>
      <protection hidden="1"/>
    </xf>
    <xf numFmtId="0" fontId="22" fillId="2" borderId="29" xfId="0" applyFont="1" applyFill="1" applyBorder="1" applyAlignment="1" applyProtection="1">
      <alignment horizontal="center"/>
      <protection hidden="1"/>
    </xf>
    <xf numFmtId="0" fontId="22" fillId="2" borderId="30" xfId="0" applyFont="1" applyFill="1" applyBorder="1" applyAlignment="1" applyProtection="1">
      <alignment horizontal="center"/>
      <protection hidden="1"/>
    </xf>
    <xf numFmtId="0" fontId="22" fillId="2" borderId="31" xfId="0" applyFont="1" applyFill="1" applyBorder="1" applyAlignment="1" applyProtection="1">
      <alignment horizontal="center"/>
      <protection hidden="1"/>
    </xf>
    <xf numFmtId="2" fontId="13" fillId="5" borderId="19" xfId="0" applyNumberFormat="1" applyFont="1" applyFill="1" applyBorder="1" applyAlignment="1" applyProtection="1">
      <alignment horizontal="left" vertical="top" wrapText="1"/>
      <protection locked="0"/>
    </xf>
    <xf numFmtId="2" fontId="13" fillId="5" borderId="45" xfId="0" applyNumberFormat="1" applyFont="1" applyFill="1" applyBorder="1" applyAlignment="1" applyProtection="1">
      <alignment horizontal="left" vertical="top" wrapText="1"/>
      <protection locked="0"/>
    </xf>
    <xf numFmtId="2" fontId="13" fillId="5" borderId="20" xfId="0" applyNumberFormat="1" applyFont="1" applyFill="1" applyBorder="1" applyAlignment="1" applyProtection="1">
      <alignment horizontal="left" vertical="top" wrapText="1"/>
      <protection locked="0"/>
    </xf>
    <xf numFmtId="2" fontId="13" fillId="5" borderId="48" xfId="0" applyNumberFormat="1" applyFont="1" applyFill="1" applyBorder="1" applyAlignment="1" applyProtection="1">
      <alignment horizontal="left" vertical="top" wrapText="1"/>
      <protection locked="0"/>
    </xf>
    <xf numFmtId="2" fontId="13" fillId="5" borderId="0" xfId="0" applyNumberFormat="1" applyFont="1" applyFill="1" applyAlignment="1" applyProtection="1">
      <alignment horizontal="left" vertical="top" wrapText="1"/>
      <protection locked="0"/>
    </xf>
    <xf numFmtId="2" fontId="13" fillId="5" borderId="13" xfId="0" applyNumberFormat="1" applyFont="1" applyFill="1" applyBorder="1" applyAlignment="1" applyProtection="1">
      <alignment horizontal="left" vertical="top" wrapText="1"/>
      <protection locked="0"/>
    </xf>
    <xf numFmtId="2" fontId="13" fillId="5" borderId="47" xfId="0" applyNumberFormat="1" applyFont="1" applyFill="1" applyBorder="1" applyAlignment="1" applyProtection="1">
      <alignment horizontal="left" vertical="top" wrapText="1"/>
      <protection locked="0"/>
    </xf>
    <xf numFmtId="2" fontId="13" fillId="5" borderId="18" xfId="0" applyNumberFormat="1" applyFont="1" applyFill="1" applyBorder="1" applyAlignment="1" applyProtection="1">
      <alignment horizontal="left" vertical="top" wrapText="1"/>
      <protection locked="0"/>
    </xf>
    <xf numFmtId="2" fontId="13" fillId="5" borderId="17" xfId="0" applyNumberFormat="1" applyFont="1" applyFill="1" applyBorder="1" applyAlignment="1" applyProtection="1">
      <alignment horizontal="left" vertical="top" wrapText="1"/>
      <protection locked="0"/>
    </xf>
    <xf numFmtId="164" fontId="23" fillId="2" borderId="0" xfId="0" applyNumberFormat="1" applyFont="1" applyFill="1" applyAlignment="1" applyProtection="1">
      <alignment horizontal="left"/>
      <protection hidden="1"/>
    </xf>
    <xf numFmtId="0" fontId="23" fillId="2" borderId="0" xfId="0" applyFont="1" applyFill="1" applyAlignment="1" applyProtection="1">
      <alignment horizontal="left"/>
      <protection hidden="1"/>
    </xf>
    <xf numFmtId="2" fontId="23" fillId="5" borderId="0" xfId="0" applyNumberFormat="1" applyFont="1" applyFill="1" applyAlignment="1" applyProtection="1">
      <alignment wrapText="1"/>
      <protection locked="0"/>
    </xf>
    <xf numFmtId="0" fontId="22" fillId="2" borderId="0" xfId="0" applyFont="1" applyFill="1" applyAlignment="1" applyProtection="1">
      <alignment horizontal="left"/>
      <protection hidden="1"/>
    </xf>
    <xf numFmtId="2" fontId="23" fillId="5" borderId="0" xfId="0" applyNumberFormat="1" applyFont="1" applyFill="1" applyAlignment="1" applyProtection="1">
      <alignment horizontal="center" wrapText="1"/>
      <protection locked="0"/>
    </xf>
    <xf numFmtId="14" fontId="19" fillId="10" borderId="18" xfId="0" applyNumberFormat="1" applyFont="1" applyFill="1" applyBorder="1" applyAlignment="1" applyProtection="1">
      <alignment horizontal="center"/>
      <protection locked="0" hidden="1"/>
    </xf>
    <xf numFmtId="0" fontId="20" fillId="2" borderId="0" xfId="0" applyFont="1" applyFill="1" applyAlignment="1" applyProtection="1">
      <alignment horizontal="center"/>
      <protection hidden="1"/>
    </xf>
    <xf numFmtId="0" fontId="27" fillId="2" borderId="0" xfId="0" applyFont="1" applyFill="1" applyAlignment="1" applyProtection="1">
      <alignment horizontal="left" vertical="top" wrapText="1"/>
      <protection hidden="1"/>
    </xf>
    <xf numFmtId="0" fontId="0" fillId="2" borderId="1"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14" fillId="10" borderId="0" xfId="0" applyFont="1" applyFill="1" applyAlignment="1" applyProtection="1">
      <alignment horizontal="center" vertical="top"/>
      <protection locked="0" hidden="1"/>
    </xf>
    <xf numFmtId="0" fontId="14" fillId="10" borderId="18" xfId="0" applyFont="1" applyFill="1" applyBorder="1" applyAlignment="1" applyProtection="1">
      <alignment horizontal="center" vertical="top"/>
      <protection locked="0" hidden="1"/>
    </xf>
    <xf numFmtId="0" fontId="13" fillId="2" borderId="29" xfId="0" applyFont="1" applyFill="1" applyBorder="1" applyAlignment="1" applyProtection="1">
      <alignment horizontal="center"/>
      <protection hidden="1"/>
    </xf>
    <xf numFmtId="0" fontId="13" fillId="2" borderId="30" xfId="0" applyFont="1" applyFill="1" applyBorder="1" applyAlignment="1" applyProtection="1">
      <alignment horizontal="center"/>
      <protection hidden="1"/>
    </xf>
    <xf numFmtId="0" fontId="13" fillId="2" borderId="31" xfId="0" applyFont="1" applyFill="1" applyBorder="1" applyAlignment="1" applyProtection="1">
      <alignment horizontal="center"/>
      <protection hidden="1"/>
    </xf>
    <xf numFmtId="0" fontId="0" fillId="2" borderId="11" xfId="0" applyFill="1" applyBorder="1" applyAlignment="1">
      <alignment horizontal="center"/>
    </xf>
    <xf numFmtId="0" fontId="0" fillId="2" borderId="35" xfId="0" applyFill="1" applyBorder="1" applyAlignment="1">
      <alignment horizontal="center"/>
    </xf>
    <xf numFmtId="0" fontId="0" fillId="2" borderId="12" xfId="0" applyFill="1" applyBorder="1" applyAlignment="1">
      <alignment horizontal="center"/>
    </xf>
    <xf numFmtId="49" fontId="13" fillId="2" borderId="19" xfId="0" applyNumberFormat="1" applyFont="1" applyFill="1" applyBorder="1" applyAlignment="1" applyProtection="1">
      <alignment horizontal="left" vertical="top" wrapText="1"/>
      <protection hidden="1"/>
    </xf>
    <xf numFmtId="49" fontId="13" fillId="2" borderId="45" xfId="0" applyNumberFormat="1" applyFont="1" applyFill="1" applyBorder="1" applyAlignment="1" applyProtection="1">
      <alignment horizontal="left" vertical="top" wrapText="1"/>
      <protection hidden="1"/>
    </xf>
    <xf numFmtId="49" fontId="13" fillId="2" borderId="20" xfId="0" applyNumberFormat="1" applyFont="1" applyFill="1" applyBorder="1" applyAlignment="1" applyProtection="1">
      <alignment horizontal="left" vertical="top" wrapText="1"/>
      <protection hidden="1"/>
    </xf>
    <xf numFmtId="49" fontId="13" fillId="2" borderId="48" xfId="0" applyNumberFormat="1" applyFont="1" applyFill="1" applyBorder="1" applyAlignment="1" applyProtection="1">
      <alignment horizontal="left" vertical="top" wrapText="1"/>
      <protection hidden="1"/>
    </xf>
    <xf numFmtId="49" fontId="13" fillId="2" borderId="0" xfId="0" applyNumberFormat="1" applyFont="1" applyFill="1" applyAlignment="1" applyProtection="1">
      <alignment horizontal="left" vertical="top" wrapText="1"/>
      <protection hidden="1"/>
    </xf>
    <xf numFmtId="49" fontId="13" fillId="2" borderId="13" xfId="0" applyNumberFormat="1" applyFont="1" applyFill="1" applyBorder="1" applyAlignment="1" applyProtection="1">
      <alignment horizontal="left" vertical="top" wrapText="1"/>
      <protection hidden="1"/>
    </xf>
    <xf numFmtId="49" fontId="13" fillId="2" borderId="47" xfId="0" applyNumberFormat="1" applyFont="1" applyFill="1" applyBorder="1" applyAlignment="1" applyProtection="1">
      <alignment horizontal="left" vertical="top" wrapText="1"/>
      <protection hidden="1"/>
    </xf>
    <xf numFmtId="49" fontId="13" fillId="2" borderId="18" xfId="0" applyNumberFormat="1" applyFont="1" applyFill="1" applyBorder="1" applyAlignment="1" applyProtection="1">
      <alignment horizontal="left" vertical="top" wrapText="1"/>
      <protection hidden="1"/>
    </xf>
    <xf numFmtId="49" fontId="13" fillId="2" borderId="17" xfId="0" applyNumberFormat="1" applyFont="1" applyFill="1" applyBorder="1" applyAlignment="1" applyProtection="1">
      <alignment horizontal="left" vertical="top" wrapText="1"/>
      <protection hidden="1"/>
    </xf>
    <xf numFmtId="0" fontId="0" fillId="2" borderId="0" xfId="0" applyFill="1" applyAlignment="1" applyProtection="1">
      <alignment horizontal="center"/>
      <protection locked="0" hidden="1"/>
    </xf>
    <xf numFmtId="0" fontId="0" fillId="2" borderId="0" xfId="0" applyFill="1" applyAlignment="1" applyProtection="1">
      <alignment horizontal="left"/>
      <protection hidden="1"/>
    </xf>
    <xf numFmtId="0" fontId="2" fillId="2" borderId="0" xfId="0" applyFont="1" applyFill="1" applyAlignment="1" applyProtection="1">
      <alignment horizontal="center" vertical="center" textRotation="90"/>
      <protection hidden="1"/>
    </xf>
    <xf numFmtId="0" fontId="2" fillId="2" borderId="9" xfId="0" applyFont="1" applyFill="1" applyBorder="1" applyAlignment="1" applyProtection="1">
      <alignment horizontal="left" vertical="top" textRotation="90"/>
      <protection hidden="1"/>
    </xf>
    <xf numFmtId="9" fontId="23" fillId="10" borderId="0" xfId="1" applyFont="1" applyFill="1" applyBorder="1" applyAlignment="1" applyProtection="1">
      <alignment horizontal="left"/>
      <protection locked="0" hidden="1"/>
    </xf>
    <xf numFmtId="2" fontId="27" fillId="2" borderId="19" xfId="0" applyNumberFormat="1" applyFont="1" applyFill="1" applyBorder="1" applyAlignment="1" applyProtection="1">
      <alignment horizontal="left" vertical="top" wrapText="1"/>
      <protection hidden="1"/>
    </xf>
    <xf numFmtId="0" fontId="27" fillId="2" borderId="45" xfId="0" applyFont="1" applyFill="1" applyBorder="1" applyAlignment="1" applyProtection="1">
      <alignment horizontal="left" vertical="top" wrapText="1"/>
      <protection hidden="1"/>
    </xf>
    <xf numFmtId="0" fontId="27" fillId="2" borderId="20" xfId="0" applyFont="1" applyFill="1" applyBorder="1" applyAlignment="1" applyProtection="1">
      <alignment horizontal="left" vertical="top" wrapText="1"/>
      <protection hidden="1"/>
    </xf>
    <xf numFmtId="2" fontId="27" fillId="2" borderId="48" xfId="0" applyNumberFormat="1" applyFont="1" applyFill="1" applyBorder="1" applyAlignment="1" applyProtection="1">
      <alignment horizontal="left" vertical="top" wrapText="1"/>
      <protection hidden="1"/>
    </xf>
    <xf numFmtId="0" fontId="27" fillId="2" borderId="13" xfId="0" applyFont="1" applyFill="1" applyBorder="1" applyAlignment="1" applyProtection="1">
      <alignment horizontal="left" vertical="top" wrapText="1"/>
      <protection hidden="1"/>
    </xf>
    <xf numFmtId="0" fontId="27" fillId="2" borderId="47" xfId="0" applyFont="1" applyFill="1" applyBorder="1" applyAlignment="1" applyProtection="1">
      <alignment horizontal="left" vertical="top" wrapText="1"/>
      <protection hidden="1"/>
    </xf>
    <xf numFmtId="0" fontId="27" fillId="2" borderId="18" xfId="0" applyFont="1" applyFill="1" applyBorder="1" applyAlignment="1" applyProtection="1">
      <alignment horizontal="left" vertical="top" wrapText="1"/>
      <protection hidden="1"/>
    </xf>
    <xf numFmtId="0" fontId="27" fillId="2" borderId="17" xfId="0" applyFont="1" applyFill="1" applyBorder="1" applyAlignment="1" applyProtection="1">
      <alignment horizontal="left" vertical="top" wrapText="1"/>
      <protection hidden="1"/>
    </xf>
    <xf numFmtId="0" fontId="17" fillId="2" borderId="11" xfId="0" applyFont="1" applyFill="1" applyBorder="1" applyAlignment="1" applyProtection="1">
      <alignment horizontal="left"/>
      <protection hidden="1"/>
    </xf>
    <xf numFmtId="0" fontId="17" fillId="2" borderId="35" xfId="0" applyFont="1" applyFill="1" applyBorder="1" applyAlignment="1" applyProtection="1">
      <alignment horizontal="left"/>
      <protection hidden="1"/>
    </xf>
    <xf numFmtId="0" fontId="17" fillId="2" borderId="12" xfId="0" applyFont="1" applyFill="1" applyBorder="1" applyAlignment="1" applyProtection="1">
      <alignment horizontal="left"/>
      <protection hidden="1"/>
    </xf>
    <xf numFmtId="0" fontId="2" fillId="2" borderId="18" xfId="0" applyFont="1" applyFill="1" applyBorder="1" applyAlignment="1" applyProtection="1">
      <alignment horizontal="center"/>
      <protection locked="0" hidden="1"/>
    </xf>
    <xf numFmtId="0" fontId="2" fillId="4" borderId="6" xfId="0" applyFont="1" applyFill="1" applyBorder="1" applyAlignment="1">
      <alignment horizontal="center"/>
    </xf>
    <xf numFmtId="0" fontId="2" fillId="4" borderId="7" xfId="0" applyFont="1" applyFill="1" applyBorder="1" applyAlignment="1">
      <alignment horizontal="center"/>
    </xf>
    <xf numFmtId="0" fontId="0" fillId="0" borderId="0" xfId="0" applyAlignment="1">
      <alignment horizontal="center"/>
    </xf>
    <xf numFmtId="0" fontId="7" fillId="0" borderId="0" xfId="0" applyFont="1" applyAlignment="1">
      <alignment horizontal="center"/>
    </xf>
    <xf numFmtId="0" fontId="5" fillId="0" borderId="9" xfId="0" applyFont="1" applyBorder="1" applyAlignment="1">
      <alignment horizontal="left" vertical="center"/>
    </xf>
    <xf numFmtId="0" fontId="5" fillId="0" borderId="9" xfId="0" applyFont="1" applyBorder="1" applyAlignment="1">
      <alignment horizontal="left" vertical="center" wrapText="1"/>
    </xf>
    <xf numFmtId="0" fontId="5" fillId="0" borderId="6" xfId="0" applyFont="1" applyBorder="1" applyAlignment="1">
      <alignment horizontal="left" vertical="center" wrapText="1"/>
    </xf>
    <xf numFmtId="0" fontId="0" fillId="0" borderId="0" xfId="0" applyAlignment="1">
      <alignment horizontal="left"/>
    </xf>
    <xf numFmtId="0" fontId="7" fillId="0" borderId="0" xfId="0" applyFont="1" applyAlignment="1">
      <alignment horizontal="left"/>
    </xf>
    <xf numFmtId="0" fontId="2" fillId="4" borderId="9" xfId="0" applyFont="1" applyFill="1" applyBorder="1" applyAlignment="1">
      <alignment horizontal="center"/>
    </xf>
    <xf numFmtId="0" fontId="2" fillId="4" borderId="0" xfId="0" applyFont="1" applyFill="1" applyAlignment="1">
      <alignment horizontal="center"/>
    </xf>
    <xf numFmtId="0" fontId="2" fillId="4" borderId="8" xfId="0" applyFont="1" applyFill="1" applyBorder="1" applyAlignment="1">
      <alignment horizontal="center"/>
    </xf>
    <xf numFmtId="0" fontId="2" fillId="0" borderId="0" xfId="0" applyFont="1" applyAlignment="1">
      <alignment horizontal="center"/>
    </xf>
    <xf numFmtId="0" fontId="5" fillId="0" borderId="10" xfId="0" applyFont="1" applyBorder="1" applyAlignment="1">
      <alignment horizontal="left" vertical="center" wrapText="1"/>
    </xf>
    <xf numFmtId="0" fontId="0" fillId="3" borderId="0" xfId="0" applyFill="1" applyAlignment="1" applyProtection="1">
      <alignment horizontal="center"/>
      <protection hidden="1"/>
    </xf>
    <xf numFmtId="0" fontId="0" fillId="2" borderId="0" xfId="0" applyFill="1" applyAlignment="1" applyProtection="1">
      <alignment horizontal="right"/>
      <protection hidden="1"/>
    </xf>
  </cellXfs>
  <cellStyles count="2">
    <cellStyle name="Normal" xfId="0" builtinId="0"/>
    <cellStyle name="Porcentaje" xfId="1" builtinId="5"/>
  </cellStyles>
  <dxfs count="2226">
    <dxf>
      <font>
        <color theme="0"/>
      </font>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left"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theme="1"/>
        <name val="Calibri"/>
        <scheme val="minor"/>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alignment horizontal="left"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theme="1"/>
        <name val="Calibri"/>
        <scheme val="minor"/>
      </font>
    </dxf>
    <dxf>
      <border diagonalUp="0" diagonalDown="0">
        <left style="medium">
          <color indexed="64"/>
        </left>
        <right/>
        <top/>
        <bottom/>
        <vertical/>
        <horizontal/>
      </border>
    </dxf>
    <dxf>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theme="1"/>
        <name val="Calibri"/>
        <scheme val="minor"/>
      </font>
      <fill>
        <patternFill patternType="solid">
          <fgColor indexed="64"/>
          <bgColor theme="5"/>
        </patternFill>
      </fill>
      <border diagonalUp="0" diagonalDown="0" outline="0">
        <left style="medium">
          <color indexed="64"/>
        </left>
        <right style="medium">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numFmt numFmtId="15" formatCode="0.00E+00"/>
      <border diagonalUp="0" diagonalDown="0" outline="0">
        <left style="medium">
          <color indexed="64"/>
        </left>
        <right style="medium">
          <color indexed="64"/>
        </right>
        <top/>
        <bottom/>
      </border>
    </dxf>
    <dxf>
      <fill>
        <patternFill patternType="none">
          <fgColor indexed="64"/>
          <bgColor indexed="65"/>
        </patternFill>
      </fill>
      <alignment horizontal="general" vertical="bottom" textRotation="0" wrapText="0" indent="0" justifyLastLine="0" shrinkToFit="0" readingOrder="0"/>
      <border diagonalUp="0" diagonalDown="0">
        <left style="medium">
          <color indexed="64"/>
        </left>
        <right style="medium">
          <color indexed="64"/>
        </right>
        <top/>
        <bottom/>
        <vertical/>
        <horizontal/>
      </border>
    </dxf>
    <dxf>
      <border diagonalUp="0" diagonalDown="0">
        <left style="medium">
          <color indexed="64"/>
        </left>
        <right style="medium">
          <color indexed="64"/>
        </right>
        <top style="medium">
          <color indexed="64"/>
        </top>
        <bottom style="medium">
          <color indexed="64"/>
        </bottom>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0" formatCode="General"/>
    </dxf>
    <dxf>
      <font>
        <b/>
        <i val="0"/>
        <strike val="0"/>
        <condense val="0"/>
        <extend val="0"/>
        <outline val="0"/>
        <shadow val="0"/>
        <u val="none"/>
        <vertAlign val="baseline"/>
        <sz val="11"/>
        <color theme="1"/>
        <name val="Calibri"/>
        <scheme val="minor"/>
      </font>
      <fill>
        <patternFill patternType="solid">
          <fgColor indexed="64"/>
          <bgColor theme="5"/>
        </patternFill>
      </fill>
    </dxf>
    <dxf>
      <fill>
        <patternFill patternType="none">
          <fgColor indexed="64"/>
          <bgColor auto="1"/>
        </patternFill>
      </fill>
    </dxf>
    <dxf>
      <font>
        <b/>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alignment horizontal="center" vertical="center" textRotation="0" wrapText="0" indent="0" justifyLastLine="0" shrinkToFit="0" readingOrder="0"/>
    </dxf>
    <dxf>
      <alignment horizontal="left" vertical="bottom" textRotation="0" wrapText="0" indent="0" justifyLastLine="0" shrinkToFit="0" readingOrder="0"/>
    </dxf>
    <dxf>
      <border outline="0">
        <right style="medium">
          <color indexed="64"/>
        </right>
        <bottom style="medium">
          <color indexed="64"/>
        </bottom>
      </border>
    </dxf>
    <dxf>
      <font>
        <b/>
        <i val="0"/>
        <strike val="0"/>
        <condense val="0"/>
        <extend val="0"/>
        <outline val="0"/>
        <shadow val="0"/>
        <u val="none"/>
        <vertAlign val="baseline"/>
        <sz val="11"/>
        <color theme="1"/>
        <name val="Calibri"/>
        <scheme val="minor"/>
      </font>
    </dxf>
    <dxf>
      <numFmt numFmtId="15" formatCode="0.00E+00"/>
      <border diagonalUp="0" diagonalDown="0" outline="0">
        <left style="medium">
          <color indexed="64"/>
        </left>
        <right style="medium">
          <color indexed="64"/>
        </right>
        <top/>
        <bottom/>
      </border>
    </dxf>
    <dxf>
      <fill>
        <patternFill patternType="none">
          <fgColor indexed="64"/>
          <bgColor indexed="65"/>
        </patternFill>
      </fill>
      <alignment horizontal="general" vertical="bottom" textRotation="0" wrapText="0" indent="0" justifyLastLine="0" shrinkToFit="0" readingOrder="0"/>
      <border diagonalUp="0" diagonalDown="0">
        <left style="medium">
          <color indexed="64"/>
        </left>
        <right style="medium">
          <color indexed="64"/>
        </right>
        <top/>
        <bottom/>
        <vertical/>
        <horizontal/>
      </border>
    </dxf>
    <dxf>
      <border diagonalUp="0" diagonalDown="0">
        <left style="medium">
          <color indexed="64"/>
        </left>
        <right style="medium">
          <color indexed="64"/>
        </right>
        <top style="medium">
          <color indexed="64"/>
        </top>
        <bottom style="medium">
          <color indexed="64"/>
        </bottom>
      </border>
    </dxf>
    <dxf>
      <alignment horizontal="center" vertical="center" textRotation="0" wrapText="0" indent="0" justifyLastLine="0" shrinkToFit="0" readingOrder="0"/>
    </dxf>
    <dxf>
      <alignment horizontal="left" vertical="bottom" textRotation="0" wrapText="0" indent="0" justifyLastLine="0" shrinkToFit="0" readingOrder="0"/>
      <border diagonalUp="0" diagonalDown="0" outline="0">
        <left style="medium">
          <color indexed="64"/>
        </left>
        <right/>
        <top/>
        <bottom/>
      </border>
    </dxf>
    <dxf>
      <border outline="0">
        <right style="medium">
          <color indexed="64"/>
        </right>
        <bottom style="medium">
          <color indexed="64"/>
        </bottom>
      </border>
    </dxf>
    <dxf>
      <border>
        <bottom style="medium">
          <color indexed="64"/>
        </bottom>
      </border>
    </dxf>
    <dxf>
      <font>
        <b/>
        <i val="0"/>
        <strike val="0"/>
        <condense val="0"/>
        <extend val="0"/>
        <outline val="0"/>
        <shadow val="0"/>
        <u val="none"/>
        <vertAlign val="baseline"/>
        <sz val="11"/>
        <color theme="1"/>
        <name val="Calibri"/>
        <scheme val="minor"/>
      </font>
      <border diagonalUp="0" diagonalDown="0">
        <left/>
        <right/>
        <top/>
        <bottom/>
        <vertical/>
        <horizontal/>
      </border>
    </dxf>
    <dxf>
      <font>
        <color theme="0"/>
      </font>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border>
        <vertical/>
        <horizontal/>
      </border>
    </dxf>
    <dxf>
      <font>
        <color theme="0"/>
      </font>
      <border>
        <vertical/>
        <horizontal/>
      </border>
    </dxf>
    <dxf>
      <font>
        <color theme="0"/>
      </font>
      <fill>
        <patternFill>
          <bgColor theme="0"/>
        </patternFill>
      </fill>
    </dxf>
    <dxf>
      <font>
        <color theme="0"/>
      </font>
      <border>
        <vertical/>
        <horizontal/>
      </border>
    </dxf>
    <dxf>
      <font>
        <color theme="0"/>
      </font>
      <fill>
        <patternFill>
          <bgColor theme="0"/>
        </patternFill>
      </fill>
    </dxf>
    <dxf>
      <font>
        <color theme="0"/>
      </font>
    </dxf>
    <dxf>
      <font>
        <color theme="0"/>
      </font>
      <border>
        <vertical/>
        <horizontal/>
      </border>
    </dxf>
    <dxf>
      <font>
        <color theme="0"/>
      </font>
    </dxf>
    <dxf>
      <font>
        <color theme="0"/>
      </font>
      <border>
        <vertical/>
        <horizontal/>
      </border>
    </dxf>
    <dxf>
      <font>
        <color theme="0"/>
      </font>
    </dxf>
    <dxf>
      <font>
        <color theme="0"/>
      </font>
      <border>
        <vertical/>
        <horizontal/>
      </border>
    </dxf>
    <dxf>
      <font>
        <color theme="0"/>
      </font>
    </dxf>
    <dxf>
      <font>
        <color theme="0"/>
      </font>
    </dxf>
    <dxf>
      <font>
        <color theme="0"/>
      </font>
      <fill>
        <patternFill>
          <bgColor theme="0"/>
        </patternFill>
      </fill>
    </dxf>
    <dxf>
      <font>
        <color theme="0"/>
      </font>
    </dxf>
    <dxf>
      <font>
        <color theme="0"/>
      </font>
    </dxf>
    <dxf>
      <font>
        <color theme="0"/>
      </font>
      <border>
        <vertical/>
        <horizontal/>
      </border>
    </dxf>
    <dxf>
      <font>
        <color theme="0"/>
      </font>
      <fill>
        <patternFill>
          <bgColor theme="0"/>
        </patternFill>
      </fill>
    </dxf>
    <dxf>
      <font>
        <color theme="0"/>
      </font>
      <border>
        <vertical/>
        <horizontal/>
      </border>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border>
        <vertical/>
        <horizontal/>
      </border>
    </dxf>
    <dxf>
      <font>
        <color theme="0"/>
      </font>
    </dxf>
    <dxf>
      <font>
        <color theme="0"/>
      </font>
      <fill>
        <patternFill>
          <bgColor theme="0"/>
        </patternFill>
      </fill>
    </dxf>
    <dxf>
      <font>
        <color theme="0"/>
      </font>
    </dxf>
    <dxf>
      <font>
        <color theme="0"/>
      </font>
    </dxf>
    <dxf>
      <font>
        <color theme="0"/>
      </font>
    </dxf>
    <dxf>
      <font>
        <color theme="0"/>
      </font>
    </dxf>
    <dxf>
      <font>
        <color theme="0"/>
      </font>
      <border>
        <vertical/>
        <horizontal/>
      </border>
    </dxf>
    <dxf>
      <font>
        <color theme="0"/>
      </font>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auto="1"/>
        </left>
        <right/>
        <top/>
        <bottom/>
      </border>
      <protection locked="1" hidden="1"/>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ill>
        <patternFill patternType="none">
          <fgColor indexed="64"/>
          <bgColor auto="1"/>
        </patternFill>
      </fill>
      <alignment horizontal="center" vertical="bottom" textRotation="0" wrapText="0" indent="0" justifyLastLine="0" shrinkToFit="0" readingOrder="0"/>
    </dxf>
    <dxf>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style="thin">
          <color indexed="64"/>
        </vertical>
        <horizontal/>
      </border>
      <protection locked="0" hidden="0"/>
    </dxf>
    <dxf>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border>
      <protection locked="0" hidden="1"/>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8" tint="0.79998168889431442"/>
        </patternFill>
      </fill>
      <alignment horizontal="left" vertical="bottom" textRotation="0" wrapText="0" indent="0" justifyLastLine="0" shrinkToFit="0" readingOrder="0"/>
      <border diagonalUp="0" diagonalDown="0">
        <left style="thin">
          <color indexed="64"/>
        </left>
        <right style="thin">
          <color indexed="64"/>
        </right>
        <top/>
        <bottom style="thin">
          <color indexed="64"/>
        </bottom>
      </border>
      <protection locked="0" hidden="1"/>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left"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1"/>
    </dxf>
    <dxf>
      <font>
        <b/>
        <i val="0"/>
        <strike val="0"/>
        <condense val="0"/>
        <extend val="0"/>
        <outline val="0"/>
        <shadow val="0"/>
        <u val="none"/>
        <vertAlign val="baseline"/>
        <sz val="11"/>
        <color theme="1"/>
        <name val="Calibri"/>
        <scheme val="minor"/>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1"/>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protection locked="1" hidden="1"/>
    </dxf>
    <dxf>
      <border diagonalUp="0" diagonalDown="0">
        <left style="thin">
          <color auto="1"/>
        </left>
        <right style="thin">
          <color auto="1"/>
        </right>
        <top/>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protection locked="1" hidden="1"/>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1"/>
    </dxf>
    <dxf>
      <font>
        <b val="0"/>
        <i val="0"/>
        <strike val="0"/>
        <condense val="0"/>
        <extend val="0"/>
        <outline val="0"/>
        <shadow val="0"/>
        <u val="none"/>
        <vertAlign val="baseline"/>
        <sz val="11"/>
        <color theme="1"/>
        <name val="Calibri"/>
        <scheme val="minor"/>
      </font>
      <numFmt numFmtId="170" formatCode="0.00.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protection locked="1" hidden="1"/>
    </dxf>
    <dxf>
      <font>
        <b val="0"/>
        <i val="0"/>
        <strike val="0"/>
        <condense val="0"/>
        <extend val="0"/>
        <outline val="0"/>
        <shadow val="0"/>
        <u val="none"/>
        <vertAlign val="baseline"/>
        <sz val="11"/>
        <color theme="1"/>
        <name val="Calibri"/>
        <scheme val="minor"/>
      </font>
      <numFmt numFmtId="170" formatCode="0.00.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style="thin">
          <color indexed="64"/>
        </right>
        <top/>
        <bottom/>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protection locked="1" hidden="1"/>
    </dxf>
    <dxf>
      <border outline="0">
        <bottom style="thin">
          <color indexed="64"/>
        </bottom>
      </border>
    </dxf>
    <dxf>
      <protection locked="1" hidden="1"/>
    </dxf>
    <dxf>
      <font>
        <b val="0"/>
        <i val="0"/>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1"/>
    </dxf>
    <dxf>
      <font>
        <b val="0"/>
        <i val="0"/>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border diagonalUp="0" diagonalDown="0">
        <left style="thin">
          <color auto="1"/>
        </left>
        <right style="thin">
          <color auto="1"/>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1"/>
    </dxf>
    <dxf>
      <font>
        <strike val="0"/>
        <outline val="0"/>
        <shadow val="0"/>
        <u val="none"/>
        <sz val="11"/>
        <name val="Calibri"/>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strike val="0"/>
        <outline val="0"/>
        <shadow val="0"/>
        <u val="none"/>
        <sz val="11"/>
        <name val="Calibri"/>
      </font>
      <numFmt numFmtId="170" formatCode="0.00.E+00"/>
      <fill>
        <patternFill patternType="none">
          <fgColor indexed="64"/>
          <bgColor auto="1"/>
        </patternFill>
      </fill>
      <alignment horizontal="center" vertical="bottom" textRotation="0" wrapText="0" indent="0" justifyLastLine="0" shrinkToFit="0" readingOrder="0"/>
      <border diagonalUp="0" diagonalDown="0" outline="0">
        <left style="thin">
          <color auto="1"/>
        </left>
        <right style="thin">
          <color indexed="64"/>
        </right>
        <top/>
        <bottom/>
      </border>
      <protection locked="1" hidden="1"/>
    </dxf>
    <dxf>
      <font>
        <strike val="0"/>
        <outline val="0"/>
        <shadow val="0"/>
        <u val="none"/>
        <sz val="11"/>
        <name val="Calibri"/>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auto="1"/>
        </left>
        <right style="thin">
          <color indexed="64"/>
        </right>
        <top/>
        <bottom/>
      </border>
      <protection locked="1" hidden="1"/>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strike val="0"/>
        <outline val="0"/>
        <shadow val="0"/>
        <u val="none"/>
        <sz val="11"/>
        <name val="Calibri"/>
      </font>
      <fill>
        <patternFill patternType="none">
          <fgColor indexed="64"/>
          <bgColor auto="1"/>
        </patternFill>
      </fill>
      <border diagonalUp="0" diagonalDown="0" outline="0">
        <left style="thin">
          <color auto="1"/>
        </left>
        <right style="thin">
          <color auto="1"/>
        </right>
        <top/>
        <bottom/>
      </border>
      <protection locked="1" hidden="1"/>
    </dxf>
    <dxf>
      <border diagonalUp="0" diagonalDown="0">
        <left/>
        <right/>
        <top/>
        <bottom/>
      </border>
    </dxf>
    <dxf>
      <font>
        <strike val="0"/>
        <outline val="0"/>
        <shadow val="0"/>
        <u val="none"/>
        <sz val="11"/>
        <name val="Calibri"/>
      </font>
      <fill>
        <patternFill patternType="none">
          <fgColor indexed="64"/>
          <bgColor auto="1"/>
        </patternFill>
      </fill>
      <protection locked="1" hidden="1"/>
    </dxf>
    <dxf>
      <font>
        <strike val="0"/>
        <outline val="0"/>
        <shadow val="0"/>
        <u val="none"/>
        <sz val="11"/>
        <name val="Calibri"/>
      </font>
      <fill>
        <patternFill patternType="none">
          <fgColor indexed="64"/>
          <bgColor auto="1"/>
        </patternFill>
      </fill>
      <border diagonalUp="0" diagonalDown="0" outline="0">
        <left style="thin">
          <color auto="1"/>
        </left>
        <right style="thin">
          <color auto="1"/>
        </right>
        <top/>
        <bottom/>
      </border>
      <protection locked="1" hidden="1"/>
    </dxf>
    <dxf>
      <font>
        <strike val="0"/>
        <outline val="0"/>
        <shadow val="0"/>
        <u val="none"/>
        <sz val="11"/>
        <name val="Calibri"/>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protection locked="1" hidden="1"/>
    </dxf>
    <dxf>
      <font>
        <strike val="0"/>
        <outline val="0"/>
        <shadow val="0"/>
        <u val="none"/>
        <sz val="11"/>
        <name val="Calibri"/>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strike val="0"/>
        <outline val="0"/>
        <shadow val="0"/>
        <u val="none"/>
        <sz val="11"/>
        <name val="Calibri"/>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strike val="0"/>
        <outline val="0"/>
        <shadow val="0"/>
        <u val="none"/>
        <sz val="11"/>
        <name val="Calibri"/>
      </font>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strike val="0"/>
        <outline val="0"/>
        <shadow val="0"/>
        <u val="none"/>
        <sz val="11"/>
        <name val="Calibri"/>
      </font>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protection locked="1" hidden="1"/>
    </dxf>
    <dxf>
      <font>
        <strike val="0"/>
        <outline val="0"/>
        <shadow val="0"/>
        <u val="none"/>
        <sz val="11"/>
        <name val="Calibri"/>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bottom/>
      </border>
      <protection locked="1" hidden="1"/>
    </dxf>
    <dxf>
      <font>
        <strike val="0"/>
        <outline val="0"/>
        <shadow val="0"/>
        <u val="none"/>
        <sz val="11"/>
        <name val="Calibri"/>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bottom/>
      </border>
      <protection locked="1" hidden="1"/>
    </dxf>
    <dxf>
      <border outline="0">
        <left style="thin">
          <color indexed="64"/>
        </left>
        <right style="thin">
          <color indexed="64"/>
        </right>
        <top style="thin">
          <color indexed="64"/>
        </top>
        <bottom style="thin">
          <color indexed="64"/>
        </bottom>
      </border>
    </dxf>
    <dxf>
      <font>
        <strike val="0"/>
        <outline val="0"/>
        <shadow val="0"/>
        <u val="none"/>
        <sz val="11"/>
        <name val="Calibri"/>
      </font>
      <fill>
        <patternFill patternType="none">
          <fgColor indexed="64"/>
          <bgColor auto="1"/>
        </patternFill>
      </fill>
      <protection locked="1" hidden="1"/>
    </dxf>
    <dxf>
      <font>
        <strike val="0"/>
        <outline val="0"/>
        <shadow val="0"/>
        <u val="none"/>
        <sz val="11"/>
        <name val="Calibri"/>
      </font>
      <protection locked="1" hidden="1"/>
    </dxf>
    <dxf>
      <font>
        <strike val="0"/>
        <outline val="0"/>
        <shadow val="0"/>
        <u val="none"/>
        <sz val="11"/>
        <name val="Calibri"/>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strike val="0"/>
        <outline val="0"/>
        <shadow val="0"/>
        <u val="none"/>
        <sz val="11"/>
        <name val="Calibri"/>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strike val="0"/>
        <outline val="0"/>
        <shadow val="0"/>
        <u val="none"/>
        <sz val="11"/>
        <name val="Calibri"/>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strike val="0"/>
        <outline val="0"/>
        <shadow val="0"/>
        <u val="none"/>
        <sz val="11"/>
        <name val="Calibri"/>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1"/>
    </dxf>
    <dxf>
      <font>
        <strike val="0"/>
        <outline val="0"/>
        <shadow val="0"/>
        <u val="none"/>
        <sz val="11"/>
        <name val="Calibri"/>
      </font>
      <fill>
        <patternFill patternType="none">
          <fgColor indexed="64"/>
          <bgColor auto="1"/>
        </patternFill>
      </fill>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outline="0">
        <left style="thin">
          <color indexed="64"/>
        </left>
        <right style="thin">
          <color indexed="64"/>
        </right>
        <top/>
        <bottom/>
      </border>
      <protection locked="1" hidden="1"/>
    </dxf>
    <dxf>
      <border outline="0">
        <left style="thin">
          <color indexed="64"/>
        </left>
        <right style="thin">
          <color indexed="64"/>
        </right>
        <top style="thin">
          <color indexed="64"/>
        </top>
        <bottom style="thin">
          <color indexed="64"/>
        </bottom>
      </border>
    </dxf>
    <dxf>
      <font>
        <strike val="0"/>
        <outline val="0"/>
        <shadow val="0"/>
        <u val="none"/>
        <sz val="11"/>
        <name val="Calibri"/>
      </font>
      <protection locked="1" hidden="1"/>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1" indent="0" justifyLastLine="0" shrinkToFit="0" readingOrder="0"/>
      <border diagonalUp="0" diagonalDown="0">
        <left style="thin">
          <color indexed="64"/>
        </left>
        <right style="thin">
          <color indexed="64"/>
        </right>
        <top/>
        <bottom/>
      </border>
      <protection locked="1" hidden="1"/>
    </dxf>
    <dxf>
      <font>
        <strike val="0"/>
        <outline val="0"/>
        <shadow val="0"/>
        <u val="none"/>
        <sz val="11"/>
        <name val="Calibri"/>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protection locked="1" hidden="1"/>
    </dxf>
    <dxf>
      <font>
        <strike val="0"/>
        <outline val="0"/>
        <shadow val="0"/>
        <u val="none"/>
        <sz val="11"/>
        <name val="Calibri"/>
      </font>
      <fill>
        <patternFill patternType="none">
          <fgColor indexed="64"/>
          <bgColor auto="1"/>
        </patternFill>
      </fill>
      <border diagonalUp="0" diagonalDown="0" outline="0">
        <left/>
        <right style="thin">
          <color indexed="64"/>
        </right>
        <top/>
        <bottom/>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sz val="11"/>
        <name val="Calibri"/>
      </font>
      <fill>
        <patternFill patternType="none">
          <fgColor indexed="64"/>
          <bgColor auto="1"/>
        </patternFill>
      </fill>
      <protection locked="1" hidden="1"/>
    </dxf>
    <dxf>
      <border outline="0">
        <bottom style="thin">
          <color indexed="64"/>
        </bottom>
      </border>
    </dxf>
    <dxf>
      <font>
        <strike val="0"/>
        <outline val="0"/>
        <shadow val="0"/>
        <u val="none"/>
        <sz val="11"/>
        <name val="Calibri"/>
      </font>
      <protection locked="1" hidden="1"/>
    </dxf>
    <dxf>
      <font>
        <color theme="0"/>
      </font>
      <fill>
        <patternFill>
          <bgColor theme="0"/>
        </patternFill>
      </fill>
    </dxf>
    <dxf>
      <font>
        <color theme="0"/>
      </font>
    </dxf>
  </dxfs>
  <tableStyles count="0" defaultTableStyle="TableStyleMedium2" defaultPivotStyle="PivotStyleLight16"/>
  <colors>
    <mruColors>
      <color rgb="FFFEF6F0"/>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Perfiles de presión de vapor</a:t>
            </a:r>
            <a:r>
              <a:rPr lang="es-CL" baseline="0"/>
              <a:t> de agua</a:t>
            </a:r>
            <a:endParaRPr lang="es-CL"/>
          </a:p>
        </c:rich>
      </c:tx>
      <c:layout>
        <c:manualLayout>
          <c:xMode val="edge"/>
          <c:yMode val="edge"/>
          <c:x val="0.21326669254658387"/>
          <c:y val="5.512259945130315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4.725188111638199E-2"/>
          <c:y val="0.14259678819444443"/>
          <c:w val="0.95026117777222929"/>
          <c:h val="0.7538450520833333"/>
        </c:manualLayout>
      </c:layout>
      <c:barChart>
        <c:barDir val="bar"/>
        <c:grouping val="stacked"/>
        <c:varyColors val="0"/>
        <c:ser>
          <c:idx val="2"/>
          <c:order val="4"/>
          <c:tx>
            <c:strRef>
              <c:f>Seccion1!$S$24</c:f>
              <c:strCache>
                <c:ptCount val="1"/>
                <c:pt idx="0">
                  <c:v>Tingl. FC</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Seccion1!$S$102</c:f>
              <c:numCache>
                <c:formatCode>General</c:formatCode>
                <c:ptCount val="1"/>
                <c:pt idx="0">
                  <c:v>0.83513399999999993</c:v>
                </c:pt>
              </c:numCache>
            </c:numRef>
          </c:val>
          <c:extLst>
            <c:ext xmlns:c16="http://schemas.microsoft.com/office/drawing/2014/chart" uri="{C3380CC4-5D6E-409C-BE32-E72D297353CC}">
              <c16:uniqueId val="{00000000-AA0A-4D2E-9EA9-ECA3F9395C91}"/>
            </c:ext>
          </c:extLst>
        </c:ser>
        <c:ser>
          <c:idx val="3"/>
          <c:order val="5"/>
          <c:tx>
            <c:strRef>
              <c:f>Seccion1!$S$25</c:f>
              <c:strCache>
                <c:ptCount val="1"/>
                <c:pt idx="0">
                  <c:v>OSB</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Seccion1!$S$103</c:f>
              <c:numCache>
                <c:formatCode>General</c:formatCode>
                <c:ptCount val="1"/>
                <c:pt idx="0">
                  <c:v>4.1181000000000001</c:v>
                </c:pt>
              </c:numCache>
            </c:numRef>
          </c:val>
          <c:extLst>
            <c:ext xmlns:c16="http://schemas.microsoft.com/office/drawing/2014/chart" uri="{C3380CC4-5D6E-409C-BE32-E72D297353CC}">
              <c16:uniqueId val="{00000001-AA0A-4D2E-9EA9-ECA3F9395C91}"/>
            </c:ext>
          </c:extLst>
        </c:ser>
        <c:ser>
          <c:idx val="4"/>
          <c:order val="6"/>
          <c:tx>
            <c:strRef>
              <c:f>Seccion1!$S$26</c:f>
              <c:strCache>
                <c:ptCount val="1"/>
                <c:pt idx="0">
                  <c:v>aire</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Seccion1!$S$104</c:f>
              <c:numCache>
                <c:formatCode>General</c:formatCode>
                <c:ptCount val="1"/>
                <c:pt idx="0">
                  <c:v>0.01</c:v>
                </c:pt>
              </c:numCache>
            </c:numRef>
          </c:val>
          <c:extLst>
            <c:ext xmlns:c16="http://schemas.microsoft.com/office/drawing/2014/chart" uri="{C3380CC4-5D6E-409C-BE32-E72D297353CC}">
              <c16:uniqueId val="{00000002-AA0A-4D2E-9EA9-ECA3F9395C91}"/>
            </c:ext>
          </c:extLst>
        </c:ser>
        <c:ser>
          <c:idx val="5"/>
          <c:order val="7"/>
          <c:tx>
            <c:strRef>
              <c:f>Seccion1!$S$27</c:f>
              <c:strCache>
                <c:ptCount val="1"/>
                <c:pt idx="0">
                  <c:v>pol</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Seccion1!$S$105</c:f>
              <c:numCache>
                <c:formatCode>General</c:formatCode>
                <c:ptCount val="1"/>
                <c:pt idx="0">
                  <c:v>3.7199999999999998</c:v>
                </c:pt>
              </c:numCache>
            </c:numRef>
          </c:val>
          <c:extLst>
            <c:ext xmlns:c16="http://schemas.microsoft.com/office/drawing/2014/chart" uri="{C3380CC4-5D6E-409C-BE32-E72D297353CC}">
              <c16:uniqueId val="{00000003-AA0A-4D2E-9EA9-ECA3F9395C91}"/>
            </c:ext>
          </c:extLst>
        </c:ser>
        <c:ser>
          <c:idx val="6"/>
          <c:order val="8"/>
          <c:tx>
            <c:strRef>
              <c:f>Seccion1!$S$28</c:f>
              <c:strCache>
                <c:ptCount val="1"/>
                <c:pt idx="0">
                  <c:v>YC</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Seccion1!$S$106</c:f>
              <c:numCache>
                <c:formatCode>General</c:formatCode>
                <c:ptCount val="1"/>
                <c:pt idx="0">
                  <c:v>0.2</c:v>
                </c:pt>
              </c:numCache>
            </c:numRef>
          </c:val>
          <c:extLst>
            <c:ext xmlns:c16="http://schemas.microsoft.com/office/drawing/2014/chart" uri="{C3380CC4-5D6E-409C-BE32-E72D297353CC}">
              <c16:uniqueId val="{00000004-AA0A-4D2E-9EA9-ECA3F9395C91}"/>
            </c:ext>
          </c:extLst>
        </c:ser>
        <c:ser>
          <c:idx val="7"/>
          <c:order val="9"/>
          <c:tx>
            <c:strRef>
              <c:f>Seccion1!$S$29</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Seccion1!$S$107</c:f>
              <c:numCache>
                <c:formatCode>General</c:formatCode>
                <c:ptCount val="1"/>
                <c:pt idx="0">
                  <c:v>#N/A</c:v>
                </c:pt>
              </c:numCache>
            </c:numRef>
          </c:val>
          <c:extLst>
            <c:ext xmlns:c16="http://schemas.microsoft.com/office/drawing/2014/chart" uri="{C3380CC4-5D6E-409C-BE32-E72D297353CC}">
              <c16:uniqueId val="{00000005-AA0A-4D2E-9EA9-ECA3F9395C91}"/>
            </c:ext>
          </c:extLst>
        </c:ser>
        <c:ser>
          <c:idx val="8"/>
          <c:order val="10"/>
          <c:tx>
            <c:strRef>
              <c:f>Seccion1!$S$30</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Seccion1!$S$108</c:f>
              <c:numCache>
                <c:formatCode>General</c:formatCode>
                <c:ptCount val="1"/>
                <c:pt idx="0">
                  <c:v>#N/A</c:v>
                </c:pt>
              </c:numCache>
            </c:numRef>
          </c:val>
          <c:extLst>
            <c:ext xmlns:c16="http://schemas.microsoft.com/office/drawing/2014/chart" uri="{C3380CC4-5D6E-409C-BE32-E72D297353CC}">
              <c16:uniqueId val="{00000006-AA0A-4D2E-9EA9-ECA3F9395C91}"/>
            </c:ext>
          </c:extLst>
        </c:ser>
        <c:ser>
          <c:idx val="9"/>
          <c:order val="11"/>
          <c:tx>
            <c:strRef>
              <c:f>Seccion1!$S$31</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Seccion1!$S$109</c:f>
              <c:numCache>
                <c:formatCode>General</c:formatCode>
                <c:ptCount val="1"/>
                <c:pt idx="0">
                  <c:v>#N/A</c:v>
                </c:pt>
              </c:numCache>
            </c:numRef>
          </c:val>
          <c:extLst>
            <c:ext xmlns:c16="http://schemas.microsoft.com/office/drawing/2014/chart" uri="{C3380CC4-5D6E-409C-BE32-E72D297353CC}">
              <c16:uniqueId val="{00000007-AA0A-4D2E-9EA9-ECA3F9395C91}"/>
            </c:ext>
          </c:extLst>
        </c:ser>
        <c:ser>
          <c:idx val="10"/>
          <c:order val="12"/>
          <c:tx>
            <c:strRef>
              <c:f>Seccion1!$S$32</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Seccion1!$S$110</c:f>
              <c:numCache>
                <c:formatCode>General</c:formatCode>
                <c:ptCount val="1"/>
                <c:pt idx="0">
                  <c:v>#N/A</c:v>
                </c:pt>
              </c:numCache>
            </c:numRef>
          </c:val>
          <c:extLst>
            <c:ext xmlns:c16="http://schemas.microsoft.com/office/drawing/2014/chart" uri="{C3380CC4-5D6E-409C-BE32-E72D297353CC}">
              <c16:uniqueId val="{00000008-AA0A-4D2E-9EA9-ECA3F9395C91}"/>
            </c:ext>
          </c:extLst>
        </c:ser>
        <c:ser>
          <c:idx val="11"/>
          <c:order val="13"/>
          <c:tx>
            <c:strRef>
              <c:f>Seccion1!$S$33</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Seccion1!$S$111</c:f>
              <c:numCache>
                <c:formatCode>General</c:formatCode>
                <c:ptCount val="1"/>
                <c:pt idx="0">
                  <c:v>#N/A</c:v>
                </c:pt>
              </c:numCache>
            </c:numRef>
          </c:val>
          <c:extLst>
            <c:ext xmlns:c16="http://schemas.microsoft.com/office/drawing/2014/chart" uri="{C3380CC4-5D6E-409C-BE32-E72D297353CC}">
              <c16:uniqueId val="{00000009-AA0A-4D2E-9EA9-ECA3F9395C91}"/>
            </c:ext>
          </c:extLst>
        </c:ser>
        <c:ser>
          <c:idx val="12"/>
          <c:order val="14"/>
          <c:tx>
            <c:strRef>
              <c:f>Seccion1!$S$34</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Seccion1!$S$112</c:f>
              <c:numCache>
                <c:formatCode>General</c:formatCode>
                <c:ptCount val="1"/>
                <c:pt idx="0">
                  <c:v>#N/A</c:v>
                </c:pt>
              </c:numCache>
            </c:numRef>
          </c:val>
          <c:extLst>
            <c:ext xmlns:c16="http://schemas.microsoft.com/office/drawing/2014/chart" uri="{C3380CC4-5D6E-409C-BE32-E72D297353CC}">
              <c16:uniqueId val="{0000000A-AA0A-4D2E-9EA9-ECA3F9395C91}"/>
            </c:ext>
          </c:extLst>
        </c:ser>
        <c:ser>
          <c:idx val="13"/>
          <c:order val="15"/>
          <c:tx>
            <c:strRef>
              <c:f>Seccion1!$S$35</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Seccion1!$S$113</c:f>
              <c:numCache>
                <c:formatCode>General</c:formatCode>
                <c:ptCount val="1"/>
                <c:pt idx="0">
                  <c:v>#N/A</c:v>
                </c:pt>
              </c:numCache>
            </c:numRef>
          </c:val>
          <c:extLst>
            <c:ext xmlns:c16="http://schemas.microsoft.com/office/drawing/2014/chart" uri="{C3380CC4-5D6E-409C-BE32-E72D297353CC}">
              <c16:uniqueId val="{0000000B-AA0A-4D2E-9EA9-ECA3F9395C91}"/>
            </c:ext>
          </c:extLst>
        </c:ser>
        <c:dLbls>
          <c:showLegendKey val="0"/>
          <c:showVal val="0"/>
          <c:showCatName val="0"/>
          <c:showSerName val="0"/>
          <c:showPercent val="0"/>
          <c:showBubbleSize val="0"/>
        </c:dLbls>
        <c:gapWidth val="0"/>
        <c:overlap val="100"/>
        <c:axId val="650268800"/>
        <c:axId val="650269456"/>
      </c:barChart>
      <c:scatterChart>
        <c:scatterStyle val="lineMarker"/>
        <c:varyColors val="0"/>
        <c:ser>
          <c:idx val="0"/>
          <c:order val="0"/>
          <c:tx>
            <c:v>Psat</c:v>
          </c:tx>
          <c:spPr>
            <a:ln w="22225" cap="rnd">
              <a:solidFill>
                <a:sysClr val="windowText" lastClr="000000"/>
              </a:solidFill>
              <a:round/>
            </a:ln>
            <a:effectLst/>
          </c:spPr>
          <c:marker>
            <c:symbol val="none"/>
          </c:marker>
          <c:dLbls>
            <c:numFmt formatCode="#,##0" sourceLinked="0"/>
            <c:spPr>
              <a:solidFill>
                <a:srgbClr val="F79646">
                  <a:lumMod val="20000"/>
                  <a:lumOff val="80000"/>
                  <a:alpha val="4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Seccion1!$T$101:$T$113</c:f>
              <c:numCache>
                <c:formatCode>General</c:formatCode>
                <c:ptCount val="13"/>
                <c:pt idx="0">
                  <c:v>0</c:v>
                </c:pt>
                <c:pt idx="1">
                  <c:v>0.83513399999999993</c:v>
                </c:pt>
                <c:pt idx="2">
                  <c:v>4.9532340000000001</c:v>
                </c:pt>
                <c:pt idx="3">
                  <c:v>4.9632339999999999</c:v>
                </c:pt>
                <c:pt idx="4">
                  <c:v>8.6832339999999988</c:v>
                </c:pt>
                <c:pt idx="5">
                  <c:v>8.8832339999999981</c:v>
                </c:pt>
                <c:pt idx="6">
                  <c:v>#N/A</c:v>
                </c:pt>
                <c:pt idx="7">
                  <c:v>#N/A</c:v>
                </c:pt>
                <c:pt idx="8">
                  <c:v>#N/A</c:v>
                </c:pt>
                <c:pt idx="9">
                  <c:v>#N/A</c:v>
                </c:pt>
                <c:pt idx="10">
                  <c:v>#N/A</c:v>
                </c:pt>
                <c:pt idx="11">
                  <c:v>#N/A</c:v>
                </c:pt>
                <c:pt idx="12">
                  <c:v>#N/A</c:v>
                </c:pt>
              </c:numCache>
            </c:numRef>
          </c:xVal>
          <c:yVal>
            <c:numRef>
              <c:f>Seccion1!$V$101:$V$113</c:f>
              <c:numCache>
                <c:formatCode>0.0</c:formatCode>
                <c:ptCount val="13"/>
                <c:pt idx="0">
                  <c:v>602.09456380131962</c:v>
                </c:pt>
                <c:pt idx="1">
                  <c:v>609.99279377079426</c:v>
                </c:pt>
                <c:pt idx="2">
                  <c:v>634.27031715371572</c:v>
                </c:pt>
                <c:pt idx="3">
                  <c:v>662.78793357158236</c:v>
                </c:pt>
                <c:pt idx="4">
                  <c:v>1974.9585502607806</c:v>
                </c:pt>
                <c:pt idx="5">
                  <c:v>2005.3110909846605</c:v>
                </c:pt>
                <c:pt idx="6">
                  <c:v>2196.1512432322261</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C-AA0A-4D2E-9EA9-ECA3F9395C91}"/>
            </c:ext>
          </c:extLst>
        </c:ser>
        <c:ser>
          <c:idx val="1"/>
          <c:order val="1"/>
          <c:tx>
            <c:strRef>
              <c:f>Seccion1!$X$99</c:f>
              <c:strCache>
                <c:ptCount val="1"/>
                <c:pt idx="0">
                  <c:v>P HR_1</c:v>
                </c:pt>
              </c:strCache>
            </c:strRef>
          </c:tx>
          <c:spPr>
            <a:ln w="22225" cap="rnd">
              <a:solidFill>
                <a:schemeClr val="accent1"/>
              </a:solidFill>
              <a:prstDash val="sysDot"/>
              <a:round/>
            </a:ln>
            <a:effectLst/>
          </c:spPr>
          <c:marker>
            <c:symbol val="none"/>
          </c:marker>
          <c:xVal>
            <c:numRef>
              <c:f>Seccion1!$T$101:$T$113</c:f>
              <c:numCache>
                <c:formatCode>General</c:formatCode>
                <c:ptCount val="13"/>
                <c:pt idx="0">
                  <c:v>0</c:v>
                </c:pt>
                <c:pt idx="1">
                  <c:v>0.83513399999999993</c:v>
                </c:pt>
                <c:pt idx="2">
                  <c:v>4.9532340000000001</c:v>
                </c:pt>
                <c:pt idx="3">
                  <c:v>4.9632339999999999</c:v>
                </c:pt>
                <c:pt idx="4">
                  <c:v>8.6832339999999988</c:v>
                </c:pt>
                <c:pt idx="5">
                  <c:v>8.8832339999999981</c:v>
                </c:pt>
                <c:pt idx="6">
                  <c:v>#N/A</c:v>
                </c:pt>
                <c:pt idx="7">
                  <c:v>#N/A</c:v>
                </c:pt>
                <c:pt idx="8">
                  <c:v>#N/A</c:v>
                </c:pt>
                <c:pt idx="9">
                  <c:v>#N/A</c:v>
                </c:pt>
                <c:pt idx="10">
                  <c:v>#N/A</c:v>
                </c:pt>
                <c:pt idx="11">
                  <c:v>#N/A</c:v>
                </c:pt>
                <c:pt idx="12">
                  <c:v>#N/A</c:v>
                </c:pt>
              </c:numCache>
            </c:numRef>
          </c:xVal>
          <c:yVal>
            <c:numRef>
              <c:f>Seccion1!$X$101:$X$113</c:f>
              <c:numCache>
                <c:formatCode>0.0</c:formatCode>
                <c:ptCount val="13"/>
                <c:pt idx="0">
                  <c:v>561.14457764860811</c:v>
                </c:pt>
                <c:pt idx="1">
                  <c:v>609.99279377079426</c:v>
                </c:pt>
                <c:pt idx="2">
                  <c:v>634.27031715371572</c:v>
                </c:pt>
                <c:pt idx="3">
                  <c:v>662.78793357158236</c:v>
                </c:pt>
                <c:pt idx="4">
                  <c:v>1388.4824726657748</c:v>
                </c:pt>
                <c:pt idx="5">
                  <c:v>1427.4983081009464</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D-AA0A-4D2E-9EA9-ECA3F9395C91}"/>
            </c:ext>
          </c:extLst>
        </c:ser>
        <c:ser>
          <c:idx val="14"/>
          <c:order val="2"/>
          <c:tx>
            <c:strRef>
              <c:f>Seccion1!$AA$99</c:f>
              <c:strCache>
                <c:ptCount val="1"/>
                <c:pt idx="0">
                  <c:v>P HR_2</c:v>
                </c:pt>
              </c:strCache>
            </c:strRef>
          </c:tx>
          <c:spPr>
            <a:ln w="22225" cap="rnd">
              <a:solidFill>
                <a:schemeClr val="accent2"/>
              </a:solidFill>
              <a:prstDash val="dash"/>
              <a:round/>
            </a:ln>
            <a:effectLst/>
          </c:spPr>
          <c:marker>
            <c:symbol val="none"/>
          </c:marker>
          <c:xVal>
            <c:numRef>
              <c:f>Seccion1!$T$101:$T$113</c:f>
              <c:numCache>
                <c:formatCode>General</c:formatCode>
                <c:ptCount val="13"/>
                <c:pt idx="0">
                  <c:v>0</c:v>
                </c:pt>
                <c:pt idx="1">
                  <c:v>0.83513399999999993</c:v>
                </c:pt>
                <c:pt idx="2">
                  <c:v>4.9532340000000001</c:v>
                </c:pt>
                <c:pt idx="3">
                  <c:v>4.9632339999999999</c:v>
                </c:pt>
                <c:pt idx="4">
                  <c:v>8.6832339999999988</c:v>
                </c:pt>
                <c:pt idx="5">
                  <c:v>8.8832339999999981</c:v>
                </c:pt>
                <c:pt idx="6">
                  <c:v>#N/A</c:v>
                </c:pt>
                <c:pt idx="7">
                  <c:v>#N/A</c:v>
                </c:pt>
                <c:pt idx="8">
                  <c:v>#N/A</c:v>
                </c:pt>
                <c:pt idx="9">
                  <c:v>#N/A</c:v>
                </c:pt>
                <c:pt idx="10">
                  <c:v>#N/A</c:v>
                </c:pt>
                <c:pt idx="11">
                  <c:v>#N/A</c:v>
                </c:pt>
                <c:pt idx="12">
                  <c:v>#N/A</c:v>
                </c:pt>
              </c:numCache>
            </c:numRef>
          </c:xVal>
          <c:yVal>
            <c:numRef>
              <c:f>Seccion1!$AA$101:$AA$113</c:f>
              <c:numCache>
                <c:formatCode>0.0</c:formatCode>
                <c:ptCount val="13"/>
                <c:pt idx="0">
                  <c:v>561.14457764860811</c:v>
                </c:pt>
                <c:pt idx="1">
                  <c:v>609.99279377079426</c:v>
                </c:pt>
                <c:pt idx="2">
                  <c:v>634.27031715371572</c:v>
                </c:pt>
                <c:pt idx="3">
                  <c:v>662.78793357158236</c:v>
                </c:pt>
                <c:pt idx="4">
                  <c:v>1596.8927437072005</c:v>
                </c:pt>
                <c:pt idx="5">
                  <c:v>1647.1134324241689</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E-AA0A-4D2E-9EA9-ECA3F9395C91}"/>
            </c:ext>
          </c:extLst>
        </c:ser>
        <c:ser>
          <c:idx val="15"/>
          <c:order val="3"/>
          <c:tx>
            <c:strRef>
              <c:f>Seccion1!$AD$99</c:f>
              <c:strCache>
                <c:ptCount val="1"/>
                <c:pt idx="0">
                  <c:v>P HR_3</c:v>
                </c:pt>
              </c:strCache>
            </c:strRef>
          </c:tx>
          <c:spPr>
            <a:ln w="22225" cap="rnd">
              <a:solidFill>
                <a:schemeClr val="accent3"/>
              </a:solidFill>
              <a:prstDash val="dashDot"/>
              <a:round/>
            </a:ln>
            <a:effectLst/>
          </c:spPr>
          <c:marker>
            <c:symbol val="none"/>
          </c:marker>
          <c:xVal>
            <c:numRef>
              <c:f>Seccion1!$T$101:$T$113</c:f>
              <c:numCache>
                <c:formatCode>General</c:formatCode>
                <c:ptCount val="13"/>
                <c:pt idx="0">
                  <c:v>0</c:v>
                </c:pt>
                <c:pt idx="1">
                  <c:v>0.83513399999999993</c:v>
                </c:pt>
                <c:pt idx="2">
                  <c:v>4.9532340000000001</c:v>
                </c:pt>
                <c:pt idx="3">
                  <c:v>4.9632339999999999</c:v>
                </c:pt>
                <c:pt idx="4">
                  <c:v>8.6832339999999988</c:v>
                </c:pt>
                <c:pt idx="5">
                  <c:v>8.8832339999999981</c:v>
                </c:pt>
                <c:pt idx="6">
                  <c:v>#N/A</c:v>
                </c:pt>
                <c:pt idx="7">
                  <c:v>#N/A</c:v>
                </c:pt>
                <c:pt idx="8">
                  <c:v>#N/A</c:v>
                </c:pt>
                <c:pt idx="9">
                  <c:v>#N/A</c:v>
                </c:pt>
                <c:pt idx="10">
                  <c:v>#N/A</c:v>
                </c:pt>
                <c:pt idx="11">
                  <c:v>#N/A</c:v>
                </c:pt>
                <c:pt idx="12">
                  <c:v>#N/A</c:v>
                </c:pt>
              </c:numCache>
            </c:numRef>
          </c:xVal>
          <c:yVal>
            <c:numRef>
              <c:f>Seccion1!$AD$101:$AD$113</c:f>
              <c:numCache>
                <c:formatCode>0.0</c:formatCode>
                <c:ptCount val="13"/>
                <c:pt idx="0">
                  <c:v>561.14457764860811</c:v>
                </c:pt>
                <c:pt idx="1">
                  <c:v>609.99279377079426</c:v>
                </c:pt>
                <c:pt idx="2">
                  <c:v>634.27031715371572</c:v>
                </c:pt>
                <c:pt idx="3">
                  <c:v>662.78793357158236</c:v>
                </c:pt>
                <c:pt idx="4">
                  <c:v>1701.0978792279132</c:v>
                </c:pt>
                <c:pt idx="5">
                  <c:v>1756.9209945857801</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F-AA0A-4D2E-9EA9-ECA3F9395C91}"/>
            </c:ext>
          </c:extLst>
        </c:ser>
        <c:dLbls>
          <c:showLegendKey val="0"/>
          <c:showVal val="0"/>
          <c:showCatName val="0"/>
          <c:showSerName val="0"/>
          <c:showPercent val="0"/>
          <c:showBubbleSize val="0"/>
        </c:dLbls>
        <c:axId val="1047157256"/>
        <c:axId val="1047157584"/>
      </c:scatterChart>
      <c:valAx>
        <c:axId val="10471572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s-CL" sz="1100"/>
                  <a:t>Espesor</a:t>
                </a:r>
                <a:r>
                  <a:rPr lang="es-CL" sz="1100" baseline="0"/>
                  <a:t> de capa de aire equivalente, S</a:t>
                </a:r>
                <a:r>
                  <a:rPr lang="es-CL" sz="1100" baseline="-25000"/>
                  <a:t>d</a:t>
                </a:r>
                <a:endParaRPr lang="es-CL"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crossAx val="1047157584"/>
        <c:crosses val="autoZero"/>
        <c:crossBetween val="midCat"/>
        <c:majorUnit val="0.1"/>
      </c:valAx>
      <c:valAx>
        <c:axId val="1047157584"/>
        <c:scaling>
          <c:orientation val="minMax"/>
          <c:min val="500"/>
        </c:scaling>
        <c:delete val="1"/>
        <c:axPos val="l"/>
        <c:numFmt formatCode="0.0" sourceLinked="1"/>
        <c:majorTickMark val="out"/>
        <c:minorTickMark val="none"/>
        <c:tickLblPos val="nextTo"/>
        <c:crossAx val="1047157256"/>
        <c:crosses val="autoZero"/>
        <c:crossBetween val="midCat"/>
      </c:valAx>
      <c:valAx>
        <c:axId val="650269456"/>
        <c:scaling>
          <c:orientation val="minMax"/>
        </c:scaling>
        <c:delete val="1"/>
        <c:axPos val="t"/>
        <c:numFmt formatCode="General" sourceLinked="1"/>
        <c:majorTickMark val="out"/>
        <c:minorTickMark val="none"/>
        <c:tickLblPos val="nextTo"/>
        <c:crossAx val="650268800"/>
        <c:crosses val="max"/>
        <c:crossBetween val="between"/>
      </c:valAx>
      <c:catAx>
        <c:axId val="650268800"/>
        <c:scaling>
          <c:orientation val="minMax"/>
        </c:scaling>
        <c:delete val="1"/>
        <c:axPos val="r"/>
        <c:majorTickMark val="out"/>
        <c:minorTickMark val="none"/>
        <c:tickLblPos val="nextTo"/>
        <c:crossAx val="650269456"/>
        <c:crosses val="max"/>
        <c:auto val="1"/>
        <c:lblAlgn val="ctr"/>
        <c:lblOffset val="100"/>
        <c:noMultiLvlLbl val="0"/>
      </c:catAx>
      <c:spPr>
        <a:noFill/>
        <a:ln>
          <a:noFill/>
        </a:ln>
        <a:effectLst/>
      </c:spPr>
    </c:plotArea>
    <c:plotVisOnly val="0"/>
    <c:dispBlanksAs val="gap"/>
    <c:showDLblsOverMax val="0"/>
  </c:chart>
  <c:spPr>
    <a:noFill/>
    <a:ln w="9525" cap="flat" cmpd="sng" algn="ctr">
      <a:solidFill>
        <a:sysClr val="windowText" lastClr="000000"/>
      </a:solidFill>
      <a:round/>
    </a:ln>
    <a:effectLst/>
  </c:spPr>
  <c:txPr>
    <a:bodyPr/>
    <a:lstStyle/>
    <a:p>
      <a:pPr>
        <a:defRPr/>
      </a:pPr>
      <a:endParaRPr lang="es-CL"/>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Perfiles de presión de vapor</a:t>
            </a:r>
            <a:r>
              <a:rPr lang="es-CL" baseline="0"/>
              <a:t> de agua</a:t>
            </a:r>
            <a:endParaRPr lang="es-CL"/>
          </a:p>
        </c:rich>
      </c:tx>
      <c:layout>
        <c:manualLayout>
          <c:xMode val="edge"/>
          <c:yMode val="edge"/>
          <c:x val="0.20778877674258109"/>
          <c:y val="1.102451989026063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4.7251984126984121E-2"/>
          <c:y val="0.12606052812071331"/>
          <c:w val="0.95026117777222929"/>
          <c:h val="0.77038160028608016"/>
        </c:manualLayout>
      </c:layout>
      <c:barChart>
        <c:barDir val="bar"/>
        <c:grouping val="stacked"/>
        <c:varyColors val="0"/>
        <c:ser>
          <c:idx val="2"/>
          <c:order val="4"/>
          <c:tx>
            <c:strRef>
              <c:f>Seccion1!$T$24</c:f>
              <c:strCache>
                <c:ptCount val="1"/>
                <c:pt idx="0">
                  <c:v>Tingl. FC</c:v>
                </c:pt>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CÁLCULOS!$BN$7</c:f>
              <c:numCache>
                <c:formatCode>0.00</c:formatCode>
                <c:ptCount val="1"/>
                <c:pt idx="0">
                  <c:v>0.83513399999999993</c:v>
                </c:pt>
              </c:numCache>
            </c:numRef>
          </c:val>
          <c:extLst>
            <c:ext xmlns:c16="http://schemas.microsoft.com/office/drawing/2014/chart" uri="{C3380CC4-5D6E-409C-BE32-E72D297353CC}">
              <c16:uniqueId val="{00000000-1E9C-4470-98F1-B9A301446A6E}"/>
            </c:ext>
          </c:extLst>
        </c:ser>
        <c:ser>
          <c:idx val="3"/>
          <c:order val="5"/>
          <c:tx>
            <c:strRef>
              <c:f>Seccion1!$T$25</c:f>
              <c:strCache>
                <c:ptCount val="1"/>
                <c:pt idx="0">
                  <c:v>fieltro</c:v>
                </c:pt>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CÁLCULOS!$BN$8</c:f>
              <c:numCache>
                <c:formatCode>0.00</c:formatCode>
                <c:ptCount val="1"/>
                <c:pt idx="0">
                  <c:v>0.10878</c:v>
                </c:pt>
              </c:numCache>
            </c:numRef>
          </c:val>
          <c:extLst>
            <c:ext xmlns:c16="http://schemas.microsoft.com/office/drawing/2014/chart" uri="{C3380CC4-5D6E-409C-BE32-E72D297353CC}">
              <c16:uniqueId val="{00000001-1E9C-4470-98F1-B9A301446A6E}"/>
            </c:ext>
          </c:extLst>
        </c:ser>
        <c:ser>
          <c:idx val="4"/>
          <c:order val="6"/>
          <c:tx>
            <c:strRef>
              <c:f>Seccion1!$T$26</c:f>
              <c:strCache>
                <c:ptCount val="1"/>
                <c:pt idx="0">
                  <c:v>aire</c:v>
                </c:pt>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CÁLCULOS!$BN$9</c:f>
              <c:numCache>
                <c:formatCode>0.00</c:formatCode>
                <c:ptCount val="1"/>
                <c:pt idx="0">
                  <c:v>0.01</c:v>
                </c:pt>
              </c:numCache>
            </c:numRef>
          </c:val>
          <c:extLst>
            <c:ext xmlns:c16="http://schemas.microsoft.com/office/drawing/2014/chart" uri="{C3380CC4-5D6E-409C-BE32-E72D297353CC}">
              <c16:uniqueId val="{00000002-1E9C-4470-98F1-B9A301446A6E}"/>
            </c:ext>
          </c:extLst>
        </c:ser>
        <c:ser>
          <c:idx val="5"/>
          <c:order val="7"/>
          <c:tx>
            <c:strRef>
              <c:f>Seccion1!$T$27</c:f>
              <c:strCache>
                <c:ptCount val="1"/>
                <c:pt idx="0">
                  <c:v>LV12</c:v>
                </c:pt>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CÁLCULOS!$BN$10</c:f>
              <c:numCache>
                <c:formatCode>0.00</c:formatCode>
                <c:ptCount val="1"/>
                <c:pt idx="0">
                  <c:v>0.29855999999999999</c:v>
                </c:pt>
              </c:numCache>
            </c:numRef>
          </c:val>
          <c:extLst>
            <c:ext xmlns:c16="http://schemas.microsoft.com/office/drawing/2014/chart" uri="{C3380CC4-5D6E-409C-BE32-E72D297353CC}">
              <c16:uniqueId val="{00000003-1E9C-4470-98F1-B9A301446A6E}"/>
            </c:ext>
          </c:extLst>
        </c:ser>
        <c:ser>
          <c:idx val="6"/>
          <c:order val="8"/>
          <c:tx>
            <c:strRef>
              <c:f>Seccion1!$T$28</c:f>
              <c:strCache>
                <c:ptCount val="1"/>
                <c:pt idx="0">
                  <c:v>Pol</c:v>
                </c:pt>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CÁLCULOS!$BN$11</c:f>
              <c:numCache>
                <c:formatCode>0.00</c:formatCode>
                <c:ptCount val="1"/>
                <c:pt idx="0">
                  <c:v>30.360000000000003</c:v>
                </c:pt>
              </c:numCache>
            </c:numRef>
          </c:val>
          <c:extLst>
            <c:ext xmlns:c16="http://schemas.microsoft.com/office/drawing/2014/chart" uri="{C3380CC4-5D6E-409C-BE32-E72D297353CC}">
              <c16:uniqueId val="{00000004-1E9C-4470-98F1-B9A301446A6E}"/>
            </c:ext>
          </c:extLst>
        </c:ser>
        <c:ser>
          <c:idx val="7"/>
          <c:order val="9"/>
          <c:tx>
            <c:strRef>
              <c:f>Seccion1!$T$29</c:f>
              <c:strCache>
                <c:ptCount val="1"/>
                <c:pt idx="0">
                  <c:v>YC</c:v>
                </c:pt>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CÁLCULOS!$BN$12</c:f>
              <c:numCache>
                <c:formatCode>0.00</c:formatCode>
                <c:ptCount val="1"/>
                <c:pt idx="0">
                  <c:v>0.2</c:v>
                </c:pt>
              </c:numCache>
            </c:numRef>
          </c:val>
          <c:extLst>
            <c:ext xmlns:c16="http://schemas.microsoft.com/office/drawing/2014/chart" uri="{C3380CC4-5D6E-409C-BE32-E72D297353CC}">
              <c16:uniqueId val="{00000005-1E9C-4470-98F1-B9A301446A6E}"/>
            </c:ext>
          </c:extLst>
        </c:ser>
        <c:ser>
          <c:idx val="8"/>
          <c:order val="10"/>
          <c:tx>
            <c:strRef>
              <c:f>Seccion1!$T$30</c:f>
              <c:strCache>
                <c:ptCount val="1"/>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CÁLCULOS!$BN$13</c:f>
              <c:numCache>
                <c:formatCode>0.00</c:formatCode>
                <c:ptCount val="1"/>
                <c:pt idx="0">
                  <c:v>#N/A</c:v>
                </c:pt>
              </c:numCache>
            </c:numRef>
          </c:val>
          <c:extLst>
            <c:ext xmlns:c16="http://schemas.microsoft.com/office/drawing/2014/chart" uri="{C3380CC4-5D6E-409C-BE32-E72D297353CC}">
              <c16:uniqueId val="{00000006-1E9C-4470-98F1-B9A301446A6E}"/>
            </c:ext>
          </c:extLst>
        </c:ser>
        <c:ser>
          <c:idx val="9"/>
          <c:order val="11"/>
          <c:tx>
            <c:strRef>
              <c:f>Seccion1!$T$31</c:f>
              <c:strCache>
                <c:ptCount val="1"/>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CÁLCULOS!$BN$14</c:f>
              <c:numCache>
                <c:formatCode>0.00</c:formatCode>
                <c:ptCount val="1"/>
                <c:pt idx="0">
                  <c:v>#N/A</c:v>
                </c:pt>
              </c:numCache>
            </c:numRef>
          </c:val>
          <c:extLst>
            <c:ext xmlns:c16="http://schemas.microsoft.com/office/drawing/2014/chart" uri="{C3380CC4-5D6E-409C-BE32-E72D297353CC}">
              <c16:uniqueId val="{00000007-1E9C-4470-98F1-B9A301446A6E}"/>
            </c:ext>
          </c:extLst>
        </c:ser>
        <c:ser>
          <c:idx val="10"/>
          <c:order val="12"/>
          <c:tx>
            <c:strRef>
              <c:f>Seccion1!$T$32</c:f>
              <c:strCache>
                <c:ptCount val="1"/>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CÁLCULOS!$BN$15</c:f>
              <c:numCache>
                <c:formatCode>0.00</c:formatCode>
                <c:ptCount val="1"/>
                <c:pt idx="0">
                  <c:v>#N/A</c:v>
                </c:pt>
              </c:numCache>
            </c:numRef>
          </c:val>
          <c:extLst>
            <c:ext xmlns:c16="http://schemas.microsoft.com/office/drawing/2014/chart" uri="{C3380CC4-5D6E-409C-BE32-E72D297353CC}">
              <c16:uniqueId val="{00000008-1E9C-4470-98F1-B9A301446A6E}"/>
            </c:ext>
          </c:extLst>
        </c:ser>
        <c:ser>
          <c:idx val="11"/>
          <c:order val="13"/>
          <c:tx>
            <c:strRef>
              <c:f>Seccion1!$T$33</c:f>
              <c:strCache>
                <c:ptCount val="1"/>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CÁLCULOS!$BN$16</c:f>
              <c:numCache>
                <c:formatCode>0.00</c:formatCode>
                <c:ptCount val="1"/>
                <c:pt idx="0">
                  <c:v>#N/A</c:v>
                </c:pt>
              </c:numCache>
            </c:numRef>
          </c:val>
          <c:extLst>
            <c:ext xmlns:c16="http://schemas.microsoft.com/office/drawing/2014/chart" uri="{C3380CC4-5D6E-409C-BE32-E72D297353CC}">
              <c16:uniqueId val="{00000009-1E9C-4470-98F1-B9A301446A6E}"/>
            </c:ext>
          </c:extLst>
        </c:ser>
        <c:ser>
          <c:idx val="12"/>
          <c:order val="14"/>
          <c:tx>
            <c:strRef>
              <c:f>Seccion1!$T$34</c:f>
              <c:strCache>
                <c:ptCount val="1"/>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CÁLCULOS!$BN$17</c:f>
              <c:numCache>
                <c:formatCode>0.00</c:formatCode>
                <c:ptCount val="1"/>
                <c:pt idx="0">
                  <c:v>#N/A</c:v>
                </c:pt>
              </c:numCache>
            </c:numRef>
          </c:val>
          <c:extLst>
            <c:ext xmlns:c16="http://schemas.microsoft.com/office/drawing/2014/chart" uri="{C3380CC4-5D6E-409C-BE32-E72D297353CC}">
              <c16:uniqueId val="{0000000A-1E9C-4470-98F1-B9A301446A6E}"/>
            </c:ext>
          </c:extLst>
        </c:ser>
        <c:ser>
          <c:idx val="13"/>
          <c:order val="15"/>
          <c:tx>
            <c:strRef>
              <c:f>Seccion1!$T$35</c:f>
              <c:strCache>
                <c:ptCount val="1"/>
              </c:strCache>
            </c:strRef>
          </c:tx>
          <c:spPr>
            <a:no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CÁLCULOS!$BN$18</c:f>
              <c:numCache>
                <c:formatCode>0.00</c:formatCode>
                <c:ptCount val="1"/>
                <c:pt idx="0">
                  <c:v>#N/A</c:v>
                </c:pt>
              </c:numCache>
            </c:numRef>
          </c:val>
          <c:extLst>
            <c:ext xmlns:c16="http://schemas.microsoft.com/office/drawing/2014/chart" uri="{C3380CC4-5D6E-409C-BE32-E72D297353CC}">
              <c16:uniqueId val="{0000000B-1E9C-4470-98F1-B9A301446A6E}"/>
            </c:ext>
          </c:extLst>
        </c:ser>
        <c:dLbls>
          <c:showLegendKey val="0"/>
          <c:showVal val="1"/>
          <c:showCatName val="0"/>
          <c:showSerName val="0"/>
          <c:showPercent val="0"/>
          <c:showBubbleSize val="0"/>
        </c:dLbls>
        <c:gapWidth val="0"/>
        <c:overlap val="100"/>
        <c:axId val="650268800"/>
        <c:axId val="650269456"/>
      </c:barChart>
      <c:scatterChart>
        <c:scatterStyle val="lineMarker"/>
        <c:varyColors val="0"/>
        <c:ser>
          <c:idx val="0"/>
          <c:order val="0"/>
          <c:tx>
            <c:v>Psat</c:v>
          </c:tx>
          <c:spPr>
            <a:ln w="22225" cap="rnd">
              <a:solidFill>
                <a:schemeClr val="tx1"/>
              </a:solidFill>
              <a:round/>
            </a:ln>
            <a:effectLst/>
          </c:spPr>
          <c:marker>
            <c:symbol val="none"/>
          </c:marker>
          <c:dLbls>
            <c:numFmt formatCode="#,##0" sourceLinked="0"/>
            <c:spPr>
              <a:solidFill>
                <a:srgbClr val="F79646">
                  <a:lumMod val="20000"/>
                  <a:lumOff val="80000"/>
                  <a:alpha val="4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Seccion1!$AN$101:$AN$113</c:f>
              <c:numCache>
                <c:formatCode>General</c:formatCode>
                <c:ptCount val="13"/>
                <c:pt idx="0">
                  <c:v>0</c:v>
                </c:pt>
                <c:pt idx="1">
                  <c:v>0.83513399999999993</c:v>
                </c:pt>
                <c:pt idx="2">
                  <c:v>0.94391399999999992</c:v>
                </c:pt>
                <c:pt idx="3">
                  <c:v>0.95391399999999993</c:v>
                </c:pt>
                <c:pt idx="4">
                  <c:v>1.2524739999999999</c:v>
                </c:pt>
                <c:pt idx="5">
                  <c:v>31.612474000000002</c:v>
                </c:pt>
                <c:pt idx="6">
                  <c:v>31.812474000000002</c:v>
                </c:pt>
                <c:pt idx="7">
                  <c:v>#N/A</c:v>
                </c:pt>
                <c:pt idx="8">
                  <c:v>#N/A</c:v>
                </c:pt>
                <c:pt idx="9">
                  <c:v>#N/A</c:v>
                </c:pt>
                <c:pt idx="10">
                  <c:v>#N/A</c:v>
                </c:pt>
                <c:pt idx="11">
                  <c:v>#N/A</c:v>
                </c:pt>
                <c:pt idx="12">
                  <c:v>#N/A</c:v>
                </c:pt>
              </c:numCache>
            </c:numRef>
          </c:xVal>
          <c:yVal>
            <c:numRef>
              <c:f>Seccion1!$AP$101:$AP$113</c:f>
              <c:numCache>
                <c:formatCode>0.0</c:formatCode>
                <c:ptCount val="13"/>
                <c:pt idx="0">
                  <c:v>601.93784846556855</c:v>
                </c:pt>
                <c:pt idx="1">
                  <c:v>609.72610893781007</c:v>
                </c:pt>
                <c:pt idx="2">
                  <c:v>610.28570476457605</c:v>
                </c:pt>
                <c:pt idx="3">
                  <c:v>637.49398439631784</c:v>
                </c:pt>
                <c:pt idx="4">
                  <c:v>1977.3998222032785</c:v>
                </c:pt>
                <c:pt idx="5">
                  <c:v>1977.8329119332379</c:v>
                </c:pt>
                <c:pt idx="6">
                  <c:v>2007.8077252207772</c:v>
                </c:pt>
                <c:pt idx="7">
                  <c:v>2196.1512432322252</c:v>
                </c:pt>
                <c:pt idx="8">
                  <c:v>#N/A</c:v>
                </c:pt>
                <c:pt idx="9">
                  <c:v>#N/A</c:v>
                </c:pt>
                <c:pt idx="10">
                  <c:v>#N/A</c:v>
                </c:pt>
                <c:pt idx="11">
                  <c:v>#N/A</c:v>
                </c:pt>
                <c:pt idx="12">
                  <c:v>#N/A</c:v>
                </c:pt>
              </c:numCache>
            </c:numRef>
          </c:yVal>
          <c:smooth val="0"/>
          <c:extLst>
            <c:ext xmlns:c16="http://schemas.microsoft.com/office/drawing/2014/chart" uri="{C3380CC4-5D6E-409C-BE32-E72D297353CC}">
              <c16:uniqueId val="{0000000C-1E9C-4470-98F1-B9A301446A6E}"/>
            </c:ext>
          </c:extLst>
        </c:ser>
        <c:ser>
          <c:idx val="1"/>
          <c:order val="1"/>
          <c:tx>
            <c:strRef>
              <c:f>Seccion1!$AR$99</c:f>
              <c:strCache>
                <c:ptCount val="1"/>
                <c:pt idx="0">
                  <c:v>P HR_1</c:v>
                </c:pt>
              </c:strCache>
            </c:strRef>
          </c:tx>
          <c:spPr>
            <a:ln w="22225" cap="rnd">
              <a:solidFill>
                <a:schemeClr val="accent1"/>
              </a:solidFill>
              <a:prstDash val="sysDot"/>
              <a:round/>
            </a:ln>
            <a:effectLst/>
          </c:spPr>
          <c:marker>
            <c:symbol val="none"/>
          </c:marker>
          <c:dLbls>
            <c:delete val="1"/>
          </c:dLbls>
          <c:xVal>
            <c:numRef>
              <c:f>Seccion1!$AN$101:$AN$113</c:f>
              <c:numCache>
                <c:formatCode>General</c:formatCode>
                <c:ptCount val="13"/>
                <c:pt idx="0">
                  <c:v>0</c:v>
                </c:pt>
                <c:pt idx="1">
                  <c:v>0.83513399999999993</c:v>
                </c:pt>
                <c:pt idx="2">
                  <c:v>0.94391399999999992</c:v>
                </c:pt>
                <c:pt idx="3">
                  <c:v>0.95391399999999993</c:v>
                </c:pt>
                <c:pt idx="4">
                  <c:v>1.2524739999999999</c:v>
                </c:pt>
                <c:pt idx="5">
                  <c:v>31.612474000000002</c:v>
                </c:pt>
                <c:pt idx="6">
                  <c:v>31.812474000000002</c:v>
                </c:pt>
                <c:pt idx="7">
                  <c:v>#N/A</c:v>
                </c:pt>
                <c:pt idx="8">
                  <c:v>#N/A</c:v>
                </c:pt>
                <c:pt idx="9">
                  <c:v>#N/A</c:v>
                </c:pt>
                <c:pt idx="10">
                  <c:v>#N/A</c:v>
                </c:pt>
                <c:pt idx="11">
                  <c:v>#N/A</c:v>
                </c:pt>
                <c:pt idx="12">
                  <c:v>#N/A</c:v>
                </c:pt>
              </c:numCache>
            </c:numRef>
          </c:xVal>
          <c:yVal>
            <c:numRef>
              <c:f>Seccion1!$AR$101:$AR$113</c:f>
              <c:numCache>
                <c:formatCode>0.0</c:formatCode>
                <c:ptCount val="13"/>
                <c:pt idx="0">
                  <c:v>561.14457764860811</c:v>
                </c:pt>
                <c:pt idx="1">
                  <c:v>583.88790331160362</c:v>
                </c:pt>
                <c:pt idx="2">
                  <c:v>586.85032486984539</c:v>
                </c:pt>
                <c:pt idx="3">
                  <c:v>587.12265632399522</c:v>
                </c:pt>
                <c:pt idx="4">
                  <c:v>595.25338421909237</c:v>
                </c:pt>
                <c:pt idx="5">
                  <c:v>1422.0516790179499</c:v>
                </c:pt>
                <c:pt idx="6">
                  <c:v>1427.4983081009464</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D-1E9C-4470-98F1-B9A301446A6E}"/>
            </c:ext>
          </c:extLst>
        </c:ser>
        <c:ser>
          <c:idx val="14"/>
          <c:order val="2"/>
          <c:tx>
            <c:strRef>
              <c:f>Seccion1!$AU$99</c:f>
              <c:strCache>
                <c:ptCount val="1"/>
                <c:pt idx="0">
                  <c:v>P HR_2</c:v>
                </c:pt>
              </c:strCache>
            </c:strRef>
          </c:tx>
          <c:spPr>
            <a:ln w="22225" cap="rnd">
              <a:solidFill>
                <a:schemeClr val="accent2"/>
              </a:solidFill>
              <a:prstDash val="dash"/>
              <a:round/>
            </a:ln>
            <a:effectLst/>
          </c:spPr>
          <c:marker>
            <c:symbol val="none"/>
          </c:marker>
          <c:dLbls>
            <c:delete val="1"/>
          </c:dLbls>
          <c:xVal>
            <c:numRef>
              <c:f>Seccion1!$AN$101:$AN$113</c:f>
              <c:numCache>
                <c:formatCode>General</c:formatCode>
                <c:ptCount val="13"/>
                <c:pt idx="0">
                  <c:v>0</c:v>
                </c:pt>
                <c:pt idx="1">
                  <c:v>0.83513399999999993</c:v>
                </c:pt>
                <c:pt idx="2">
                  <c:v>0.94391399999999992</c:v>
                </c:pt>
                <c:pt idx="3">
                  <c:v>0.95391399999999993</c:v>
                </c:pt>
                <c:pt idx="4">
                  <c:v>1.2524739999999999</c:v>
                </c:pt>
                <c:pt idx="5">
                  <c:v>31.612474000000002</c:v>
                </c:pt>
                <c:pt idx="6">
                  <c:v>31.812474000000002</c:v>
                </c:pt>
                <c:pt idx="7">
                  <c:v>#N/A</c:v>
                </c:pt>
                <c:pt idx="8">
                  <c:v>#N/A</c:v>
                </c:pt>
                <c:pt idx="9">
                  <c:v>#N/A</c:v>
                </c:pt>
                <c:pt idx="10">
                  <c:v>#N/A</c:v>
                </c:pt>
                <c:pt idx="11">
                  <c:v>#N/A</c:v>
                </c:pt>
                <c:pt idx="12">
                  <c:v>#N/A</c:v>
                </c:pt>
              </c:numCache>
            </c:numRef>
          </c:xVal>
          <c:yVal>
            <c:numRef>
              <c:f>Seccion1!$AU$101:$AU$113</c:f>
              <c:numCache>
                <c:formatCode>0.0</c:formatCode>
                <c:ptCount val="13"/>
                <c:pt idx="0">
                  <c:v>561.14457764860811</c:v>
                </c:pt>
                <c:pt idx="1">
                  <c:v>589.65319076571848</c:v>
                </c:pt>
                <c:pt idx="2">
                  <c:v>593.36656722372311</c:v>
                </c:pt>
                <c:pt idx="3">
                  <c:v>593.7079329580497</c:v>
                </c:pt>
                <c:pt idx="4">
                  <c:v>603.89974832210441</c:v>
                </c:pt>
                <c:pt idx="5">
                  <c:v>1640.2861177376371</c:v>
                </c:pt>
                <c:pt idx="6">
                  <c:v>1647.1134324241689</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E-1E9C-4470-98F1-B9A301446A6E}"/>
            </c:ext>
          </c:extLst>
        </c:ser>
        <c:ser>
          <c:idx val="15"/>
          <c:order val="3"/>
          <c:tx>
            <c:strRef>
              <c:f>Seccion1!$AX$99</c:f>
              <c:strCache>
                <c:ptCount val="1"/>
                <c:pt idx="0">
                  <c:v>P HR_3</c:v>
                </c:pt>
              </c:strCache>
            </c:strRef>
          </c:tx>
          <c:spPr>
            <a:ln w="22225" cap="rnd">
              <a:solidFill>
                <a:schemeClr val="accent3"/>
              </a:solidFill>
              <a:prstDash val="dashDot"/>
              <a:round/>
            </a:ln>
            <a:effectLst/>
          </c:spPr>
          <c:marker>
            <c:symbol val="none"/>
          </c:marker>
          <c:dLbls>
            <c:delete val="1"/>
          </c:dLbls>
          <c:xVal>
            <c:numRef>
              <c:f>Seccion1!$AN$101:$AN$113</c:f>
              <c:numCache>
                <c:formatCode>General</c:formatCode>
                <c:ptCount val="13"/>
                <c:pt idx="0">
                  <c:v>0</c:v>
                </c:pt>
                <c:pt idx="1">
                  <c:v>0.83513399999999993</c:v>
                </c:pt>
                <c:pt idx="2">
                  <c:v>0.94391399999999992</c:v>
                </c:pt>
                <c:pt idx="3">
                  <c:v>0.95391399999999993</c:v>
                </c:pt>
                <c:pt idx="4">
                  <c:v>1.2524739999999999</c:v>
                </c:pt>
                <c:pt idx="5">
                  <c:v>31.612474000000002</c:v>
                </c:pt>
                <c:pt idx="6">
                  <c:v>31.812474000000002</c:v>
                </c:pt>
                <c:pt idx="7">
                  <c:v>#N/A</c:v>
                </c:pt>
                <c:pt idx="8">
                  <c:v>#N/A</c:v>
                </c:pt>
                <c:pt idx="9">
                  <c:v>#N/A</c:v>
                </c:pt>
                <c:pt idx="10">
                  <c:v>#N/A</c:v>
                </c:pt>
                <c:pt idx="11">
                  <c:v>#N/A</c:v>
                </c:pt>
                <c:pt idx="12">
                  <c:v>#N/A</c:v>
                </c:pt>
              </c:numCache>
            </c:numRef>
          </c:xVal>
          <c:yVal>
            <c:numRef>
              <c:f>Seccion1!$AX$101:$AX$113</c:f>
              <c:numCache>
                <c:formatCode>0.0</c:formatCode>
                <c:ptCount val="13"/>
                <c:pt idx="0">
                  <c:v>561.14457764860811</c:v>
                </c:pt>
                <c:pt idx="1">
                  <c:v>592.53583449277573</c:v>
                </c:pt>
                <c:pt idx="2">
                  <c:v>596.62468840066185</c:v>
                </c:pt>
                <c:pt idx="3">
                  <c:v>597.00057127507682</c:v>
                </c:pt>
                <c:pt idx="4">
                  <c:v>608.22293037361032</c:v>
                </c:pt>
                <c:pt idx="5">
                  <c:v>1749.4033370974805</c:v>
                </c:pt>
                <c:pt idx="6">
                  <c:v>1756.9209945857801</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F-1E9C-4470-98F1-B9A301446A6E}"/>
            </c:ext>
          </c:extLst>
        </c:ser>
        <c:dLbls>
          <c:showLegendKey val="0"/>
          <c:showVal val="1"/>
          <c:showCatName val="0"/>
          <c:showSerName val="0"/>
          <c:showPercent val="0"/>
          <c:showBubbleSize val="0"/>
        </c:dLbls>
        <c:axId val="1047157256"/>
        <c:axId val="1047157584"/>
      </c:scatterChart>
      <c:valAx>
        <c:axId val="10471572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s-CL" sz="1100" b="0" i="0" baseline="0">
                    <a:effectLst/>
                  </a:rPr>
                  <a:t>Espesor de capa de aire equivalente, S</a:t>
                </a:r>
                <a:r>
                  <a:rPr lang="es-CL" sz="1100" b="0" i="0" baseline="-25000">
                    <a:effectLst/>
                  </a:rPr>
                  <a:t>d</a:t>
                </a:r>
                <a:endParaRPr lang="es-CL" sz="1100">
                  <a:effectLst/>
                </a:endParaRP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crossAx val="1047157584"/>
        <c:crosses val="autoZero"/>
        <c:crossBetween val="midCat"/>
        <c:majorUnit val="0.1"/>
      </c:valAx>
      <c:valAx>
        <c:axId val="1047157584"/>
        <c:scaling>
          <c:orientation val="minMax"/>
          <c:min val="500"/>
        </c:scaling>
        <c:delete val="1"/>
        <c:axPos val="l"/>
        <c:numFmt formatCode="0.0" sourceLinked="1"/>
        <c:majorTickMark val="out"/>
        <c:minorTickMark val="none"/>
        <c:tickLblPos val="nextTo"/>
        <c:crossAx val="1047157256"/>
        <c:crosses val="autoZero"/>
        <c:crossBetween val="midCat"/>
      </c:valAx>
      <c:valAx>
        <c:axId val="650269456"/>
        <c:scaling>
          <c:orientation val="minMax"/>
        </c:scaling>
        <c:delete val="1"/>
        <c:axPos val="t"/>
        <c:numFmt formatCode="0.00" sourceLinked="1"/>
        <c:majorTickMark val="out"/>
        <c:minorTickMark val="none"/>
        <c:tickLblPos val="nextTo"/>
        <c:crossAx val="650268800"/>
        <c:crosses val="max"/>
        <c:crossBetween val="between"/>
      </c:valAx>
      <c:catAx>
        <c:axId val="650268800"/>
        <c:scaling>
          <c:orientation val="minMax"/>
        </c:scaling>
        <c:delete val="1"/>
        <c:axPos val="r"/>
        <c:majorTickMark val="out"/>
        <c:minorTickMark val="none"/>
        <c:tickLblPos val="nextTo"/>
        <c:crossAx val="650269456"/>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L"/>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Perfiles de temperatura </a:t>
            </a:r>
          </a:p>
        </c:rich>
      </c:tx>
      <c:layout>
        <c:manualLayout>
          <c:xMode val="edge"/>
          <c:yMode val="edge"/>
          <c:x val="0.28691045531308113"/>
          <c:y val="5.512152777777778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5.2501653439153431E-2"/>
          <c:y val="0.12606052831670622"/>
          <c:w val="0.9450115740740741"/>
          <c:h val="0.77038160028608016"/>
        </c:manualLayout>
      </c:layout>
      <c:barChart>
        <c:barDir val="bar"/>
        <c:grouping val="stacked"/>
        <c:varyColors val="0"/>
        <c:ser>
          <c:idx val="2"/>
          <c:order val="1"/>
          <c:tx>
            <c:strRef>
              <c:f>Seccion1!$T$24</c:f>
              <c:strCache>
                <c:ptCount val="1"/>
                <c:pt idx="0">
                  <c:v>Tingl. FC</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Seccion1!$AK$102</c:f>
              <c:numCache>
                <c:formatCode>General</c:formatCode>
                <c:ptCount val="1"/>
                <c:pt idx="0">
                  <c:v>6.0000000000000001E-3</c:v>
                </c:pt>
              </c:numCache>
            </c:numRef>
          </c:val>
          <c:extLst>
            <c:ext xmlns:c16="http://schemas.microsoft.com/office/drawing/2014/chart" uri="{C3380CC4-5D6E-409C-BE32-E72D297353CC}">
              <c16:uniqueId val="{00000000-C859-45C4-B175-B5D1D8A0C5CE}"/>
            </c:ext>
          </c:extLst>
        </c:ser>
        <c:ser>
          <c:idx val="3"/>
          <c:order val="2"/>
          <c:tx>
            <c:strRef>
              <c:f>Seccion1!$T$25</c:f>
              <c:strCache>
                <c:ptCount val="1"/>
                <c:pt idx="0">
                  <c:v>fieltro</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Seccion1!$AK$103</c:f>
              <c:numCache>
                <c:formatCode>General</c:formatCode>
                <c:ptCount val="1"/>
                <c:pt idx="0">
                  <c:v>3.6999999999999999E-4</c:v>
                </c:pt>
              </c:numCache>
            </c:numRef>
          </c:val>
          <c:extLst>
            <c:ext xmlns:c16="http://schemas.microsoft.com/office/drawing/2014/chart" uri="{C3380CC4-5D6E-409C-BE32-E72D297353CC}">
              <c16:uniqueId val="{00000001-C859-45C4-B175-B5D1D8A0C5CE}"/>
            </c:ext>
          </c:extLst>
        </c:ser>
        <c:ser>
          <c:idx val="4"/>
          <c:order val="3"/>
          <c:tx>
            <c:strRef>
              <c:f>Seccion1!$T$26</c:f>
              <c:strCache>
                <c:ptCount val="1"/>
                <c:pt idx="0">
                  <c:v>aire</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Seccion1!$AK$104</c:f>
              <c:numCache>
                <c:formatCode>General</c:formatCode>
                <c:ptCount val="1"/>
                <c:pt idx="0">
                  <c:v>5.0000000000000001E-3</c:v>
                </c:pt>
              </c:numCache>
            </c:numRef>
          </c:val>
          <c:extLst>
            <c:ext xmlns:c16="http://schemas.microsoft.com/office/drawing/2014/chart" uri="{C3380CC4-5D6E-409C-BE32-E72D297353CC}">
              <c16:uniqueId val="{00000002-C859-45C4-B175-B5D1D8A0C5CE}"/>
            </c:ext>
          </c:extLst>
        </c:ser>
        <c:ser>
          <c:idx val="5"/>
          <c:order val="4"/>
          <c:tx>
            <c:strRef>
              <c:f>Seccion1!$T$27</c:f>
              <c:strCache>
                <c:ptCount val="1"/>
                <c:pt idx="0">
                  <c:v>LV12</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Seccion1!$AK$105</c:f>
              <c:numCache>
                <c:formatCode>General</c:formatCode>
                <c:ptCount val="1"/>
                <c:pt idx="0">
                  <c:v>0.12</c:v>
                </c:pt>
              </c:numCache>
            </c:numRef>
          </c:val>
          <c:extLst>
            <c:ext xmlns:c16="http://schemas.microsoft.com/office/drawing/2014/chart" uri="{C3380CC4-5D6E-409C-BE32-E72D297353CC}">
              <c16:uniqueId val="{00000003-C859-45C4-B175-B5D1D8A0C5CE}"/>
            </c:ext>
          </c:extLst>
        </c:ser>
        <c:ser>
          <c:idx val="6"/>
          <c:order val="5"/>
          <c:tx>
            <c:strRef>
              <c:f>Seccion1!$T$28</c:f>
              <c:strCache>
                <c:ptCount val="1"/>
                <c:pt idx="0">
                  <c:v>Pol</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Seccion1!$AK$106</c:f>
              <c:numCache>
                <c:formatCode>General</c:formatCode>
                <c:ptCount val="1"/>
                <c:pt idx="0">
                  <c:v>2.0000000000000001E-4</c:v>
                </c:pt>
              </c:numCache>
            </c:numRef>
          </c:val>
          <c:extLst>
            <c:ext xmlns:c16="http://schemas.microsoft.com/office/drawing/2014/chart" uri="{C3380CC4-5D6E-409C-BE32-E72D297353CC}">
              <c16:uniqueId val="{00000004-C859-45C4-B175-B5D1D8A0C5CE}"/>
            </c:ext>
          </c:extLst>
        </c:ser>
        <c:ser>
          <c:idx val="7"/>
          <c:order val="6"/>
          <c:tx>
            <c:strRef>
              <c:f>Seccion1!$T$29</c:f>
              <c:strCache>
                <c:ptCount val="1"/>
                <c:pt idx="0">
                  <c:v>YC</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Seccion1!$AK$107</c:f>
              <c:numCache>
                <c:formatCode>General</c:formatCode>
                <c:ptCount val="1"/>
                <c:pt idx="0">
                  <c:v>0.01</c:v>
                </c:pt>
              </c:numCache>
            </c:numRef>
          </c:val>
          <c:extLst>
            <c:ext xmlns:c16="http://schemas.microsoft.com/office/drawing/2014/chart" uri="{C3380CC4-5D6E-409C-BE32-E72D297353CC}">
              <c16:uniqueId val="{00000005-C859-45C4-B175-B5D1D8A0C5CE}"/>
            </c:ext>
          </c:extLst>
        </c:ser>
        <c:ser>
          <c:idx val="8"/>
          <c:order val="7"/>
          <c:tx>
            <c:strRef>
              <c:f>Seccion1!$T$30</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Seccion1!$AK$108</c:f>
              <c:numCache>
                <c:formatCode>General</c:formatCode>
                <c:ptCount val="1"/>
                <c:pt idx="0">
                  <c:v>#N/A</c:v>
                </c:pt>
              </c:numCache>
            </c:numRef>
          </c:val>
          <c:extLst>
            <c:ext xmlns:c16="http://schemas.microsoft.com/office/drawing/2014/chart" uri="{C3380CC4-5D6E-409C-BE32-E72D297353CC}">
              <c16:uniqueId val="{00000006-C859-45C4-B175-B5D1D8A0C5CE}"/>
            </c:ext>
          </c:extLst>
        </c:ser>
        <c:ser>
          <c:idx val="9"/>
          <c:order val="8"/>
          <c:tx>
            <c:strRef>
              <c:f>Seccion1!$T$31</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Seccion1!$AK$109</c:f>
              <c:numCache>
                <c:formatCode>General</c:formatCode>
                <c:ptCount val="1"/>
                <c:pt idx="0">
                  <c:v>#N/A</c:v>
                </c:pt>
              </c:numCache>
            </c:numRef>
          </c:val>
          <c:extLst>
            <c:ext xmlns:c16="http://schemas.microsoft.com/office/drawing/2014/chart" uri="{C3380CC4-5D6E-409C-BE32-E72D297353CC}">
              <c16:uniqueId val="{00000007-C859-45C4-B175-B5D1D8A0C5CE}"/>
            </c:ext>
          </c:extLst>
        </c:ser>
        <c:ser>
          <c:idx val="10"/>
          <c:order val="9"/>
          <c:tx>
            <c:strRef>
              <c:f>Seccion1!$T$32</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Seccion1!$AK$110</c:f>
              <c:numCache>
                <c:formatCode>General</c:formatCode>
                <c:ptCount val="1"/>
                <c:pt idx="0">
                  <c:v>#N/A</c:v>
                </c:pt>
              </c:numCache>
            </c:numRef>
          </c:val>
          <c:extLst>
            <c:ext xmlns:c16="http://schemas.microsoft.com/office/drawing/2014/chart" uri="{C3380CC4-5D6E-409C-BE32-E72D297353CC}">
              <c16:uniqueId val="{00000008-C859-45C4-B175-B5D1D8A0C5CE}"/>
            </c:ext>
          </c:extLst>
        </c:ser>
        <c:ser>
          <c:idx val="11"/>
          <c:order val="10"/>
          <c:tx>
            <c:strRef>
              <c:f>Seccion1!$T$33</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Seccion1!$AK$111</c:f>
              <c:numCache>
                <c:formatCode>General</c:formatCode>
                <c:ptCount val="1"/>
                <c:pt idx="0">
                  <c:v>#N/A</c:v>
                </c:pt>
              </c:numCache>
            </c:numRef>
          </c:val>
          <c:extLst>
            <c:ext xmlns:c16="http://schemas.microsoft.com/office/drawing/2014/chart" uri="{C3380CC4-5D6E-409C-BE32-E72D297353CC}">
              <c16:uniqueId val="{00000009-C859-45C4-B175-B5D1D8A0C5CE}"/>
            </c:ext>
          </c:extLst>
        </c:ser>
        <c:ser>
          <c:idx val="12"/>
          <c:order val="11"/>
          <c:tx>
            <c:strRef>
              <c:f>Seccion1!$T$34</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Seccion1!$AK$112</c:f>
              <c:numCache>
                <c:formatCode>General</c:formatCode>
                <c:ptCount val="1"/>
                <c:pt idx="0">
                  <c:v>#N/A</c:v>
                </c:pt>
              </c:numCache>
            </c:numRef>
          </c:val>
          <c:extLst>
            <c:ext xmlns:c16="http://schemas.microsoft.com/office/drawing/2014/chart" uri="{C3380CC4-5D6E-409C-BE32-E72D297353CC}">
              <c16:uniqueId val="{0000000A-C859-45C4-B175-B5D1D8A0C5CE}"/>
            </c:ext>
          </c:extLst>
        </c:ser>
        <c:ser>
          <c:idx val="13"/>
          <c:order val="12"/>
          <c:tx>
            <c:strRef>
              <c:f>Seccion1!$T$35</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Seccion1!$AK$113</c:f>
              <c:numCache>
                <c:formatCode>General</c:formatCode>
                <c:ptCount val="1"/>
                <c:pt idx="0">
                  <c:v>#N/A</c:v>
                </c:pt>
              </c:numCache>
            </c:numRef>
          </c:val>
          <c:extLst>
            <c:ext xmlns:c16="http://schemas.microsoft.com/office/drawing/2014/chart" uri="{C3380CC4-5D6E-409C-BE32-E72D297353CC}">
              <c16:uniqueId val="{0000000B-C859-45C4-B175-B5D1D8A0C5CE}"/>
            </c:ext>
          </c:extLst>
        </c:ser>
        <c:dLbls>
          <c:showLegendKey val="0"/>
          <c:showVal val="1"/>
          <c:showCatName val="0"/>
          <c:showSerName val="0"/>
          <c:showPercent val="0"/>
          <c:showBubbleSize val="0"/>
        </c:dLbls>
        <c:gapWidth val="0"/>
        <c:overlap val="100"/>
        <c:axId val="650268800"/>
        <c:axId val="650269456"/>
      </c:barChart>
      <c:scatterChart>
        <c:scatterStyle val="lineMarker"/>
        <c:varyColors val="0"/>
        <c:ser>
          <c:idx val="0"/>
          <c:order val="0"/>
          <c:tx>
            <c:strRef>
              <c:f>Seccion1!$AO$99</c:f>
              <c:strCache>
                <c:ptCount val="1"/>
                <c:pt idx="0">
                  <c:v>ϴ'n</c:v>
                </c:pt>
              </c:strCache>
            </c:strRef>
          </c:tx>
          <c:spPr>
            <a:ln w="22225" cap="rnd">
              <a:solidFill>
                <a:sysClr val="windowText" lastClr="000000"/>
              </a:solidFill>
              <a:round/>
            </a:ln>
            <a:effectLst/>
          </c:spPr>
          <c:marker>
            <c:symbol val="circle"/>
            <c:size val="5"/>
            <c:spPr>
              <a:noFill/>
              <a:ln w="9525">
                <a:noFill/>
              </a:ln>
              <a:effectLst/>
            </c:spPr>
          </c:marker>
          <c:dLbls>
            <c:numFmt formatCode="#,##0.0" sourceLinked="0"/>
            <c:spPr>
              <a:solidFill>
                <a:srgbClr val="F79646">
                  <a:lumMod val="20000"/>
                  <a:lumOff val="80000"/>
                  <a:alpha val="4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Seccion1!$AL$101:$AL$113</c:f>
              <c:numCache>
                <c:formatCode>General</c:formatCode>
                <c:ptCount val="13"/>
                <c:pt idx="0">
                  <c:v>0</c:v>
                </c:pt>
                <c:pt idx="1">
                  <c:v>6.0000000000000001E-3</c:v>
                </c:pt>
                <c:pt idx="2">
                  <c:v>6.3699999999999998E-3</c:v>
                </c:pt>
                <c:pt idx="3">
                  <c:v>1.137E-2</c:v>
                </c:pt>
                <c:pt idx="4">
                  <c:v>0.13136999999999999</c:v>
                </c:pt>
                <c:pt idx="5">
                  <c:v>0.13156999999999999</c:v>
                </c:pt>
                <c:pt idx="6">
                  <c:v>0.14157</c:v>
                </c:pt>
                <c:pt idx="7">
                  <c:v>#N/A</c:v>
                </c:pt>
                <c:pt idx="8">
                  <c:v>#N/A</c:v>
                </c:pt>
                <c:pt idx="9">
                  <c:v>#N/A</c:v>
                </c:pt>
                <c:pt idx="10">
                  <c:v>#N/A</c:v>
                </c:pt>
                <c:pt idx="11">
                  <c:v>#N/A</c:v>
                </c:pt>
                <c:pt idx="12">
                  <c:v>#N/A</c:v>
                </c:pt>
              </c:numCache>
            </c:numRef>
          </c:xVal>
          <c:yVal>
            <c:numRef>
              <c:f>Seccion1!$AO$101:$AO$113</c:f>
              <c:numCache>
                <c:formatCode>0.0</c:formatCode>
                <c:ptCount val="13"/>
                <c:pt idx="0">
                  <c:v>-0.1713155488543551</c:v>
                </c:pt>
                <c:pt idx="1">
                  <c:v>-1.5394332164142599E-2</c:v>
                </c:pt>
                <c:pt idx="2">
                  <c:v>-4.2610102004730921E-3</c:v>
                </c:pt>
                <c:pt idx="3">
                  <c:v>0.59603567405684477</c:v>
                </c:pt>
                <c:pt idx="4">
                  <c:v>17.329044294469892</c:v>
                </c:pt>
                <c:pt idx="5">
                  <c:v>17.332509210396339</c:v>
                </c:pt>
                <c:pt idx="6">
                  <c:v>17.570722180339718</c:v>
                </c:pt>
                <c:pt idx="7">
                  <c:v>19</c:v>
                </c:pt>
                <c:pt idx="8">
                  <c:v>#N/A</c:v>
                </c:pt>
                <c:pt idx="9">
                  <c:v>#N/A</c:v>
                </c:pt>
                <c:pt idx="10">
                  <c:v>#N/A</c:v>
                </c:pt>
                <c:pt idx="11">
                  <c:v>#N/A</c:v>
                </c:pt>
                <c:pt idx="12">
                  <c:v>#N/A</c:v>
                </c:pt>
              </c:numCache>
            </c:numRef>
          </c:yVal>
          <c:smooth val="0"/>
          <c:extLst>
            <c:ext xmlns:c16="http://schemas.microsoft.com/office/drawing/2014/chart" uri="{C3380CC4-5D6E-409C-BE32-E72D297353CC}">
              <c16:uniqueId val="{0000000C-C859-45C4-B175-B5D1D8A0C5CE}"/>
            </c:ext>
          </c:extLst>
        </c:ser>
        <c:ser>
          <c:idx val="1"/>
          <c:order val="13"/>
          <c:tx>
            <c:strRef>
              <c:f>Seccion1!$AQ$99</c:f>
              <c:strCache>
                <c:ptCount val="1"/>
                <c:pt idx="0">
                  <c:v>ϴ'n_pr_1</c:v>
                </c:pt>
              </c:strCache>
            </c:strRef>
          </c:tx>
          <c:spPr>
            <a:ln w="22225" cap="rnd">
              <a:solidFill>
                <a:schemeClr val="accent1"/>
              </a:solidFill>
              <a:prstDash val="sysDot"/>
              <a:round/>
            </a:ln>
            <a:effectLst/>
          </c:spPr>
          <c:marker>
            <c:symbol val="none"/>
          </c:marker>
          <c:dLbls>
            <c:delete val="1"/>
          </c:dLbls>
          <c:xVal>
            <c:numRef>
              <c:f>Seccion1!$AL$101:$AL$113</c:f>
              <c:numCache>
                <c:formatCode>General</c:formatCode>
                <c:ptCount val="13"/>
                <c:pt idx="0">
                  <c:v>0</c:v>
                </c:pt>
                <c:pt idx="1">
                  <c:v>6.0000000000000001E-3</c:v>
                </c:pt>
                <c:pt idx="2">
                  <c:v>6.3699999999999998E-3</c:v>
                </c:pt>
                <c:pt idx="3">
                  <c:v>1.137E-2</c:v>
                </c:pt>
                <c:pt idx="4">
                  <c:v>0.13136999999999999</c:v>
                </c:pt>
                <c:pt idx="5">
                  <c:v>0.13156999999999999</c:v>
                </c:pt>
                <c:pt idx="6">
                  <c:v>0.14157</c:v>
                </c:pt>
                <c:pt idx="7">
                  <c:v>#N/A</c:v>
                </c:pt>
                <c:pt idx="8">
                  <c:v>#N/A</c:v>
                </c:pt>
                <c:pt idx="9">
                  <c:v>#N/A</c:v>
                </c:pt>
                <c:pt idx="10">
                  <c:v>#N/A</c:v>
                </c:pt>
                <c:pt idx="11">
                  <c:v>#N/A</c:v>
                </c:pt>
                <c:pt idx="12">
                  <c:v>#N/A</c:v>
                </c:pt>
              </c:numCache>
            </c:numRef>
          </c:xVal>
          <c:yVal>
            <c:numRef>
              <c:f>Seccion1!$AQ$101:$AQ$113</c:f>
              <c:numCache>
                <c:formatCode>0.0</c:formatCode>
                <c:ptCount val="13"/>
                <c:pt idx="0">
                  <c:v>-1.2170010266451134</c:v>
                </c:pt>
                <c:pt idx="1">
                  <c:v>-0.66588883334175086</c:v>
                </c:pt>
                <c:pt idx="2">
                  <c:v>-0.59555535314402075</c:v>
                </c:pt>
                <c:pt idx="3">
                  <c:v>-0.58910599460906332</c:v>
                </c:pt>
                <c:pt idx="4">
                  <c:v>-0.3978027093947844</c:v>
                </c:pt>
                <c:pt idx="5">
                  <c:v>12.240319023391473</c:v>
                </c:pt>
                <c:pt idx="6">
                  <c:v>12.298357099136647</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0-87CA-449A-B22D-5817DF24B555}"/>
            </c:ext>
          </c:extLst>
        </c:ser>
        <c:ser>
          <c:idx val="14"/>
          <c:order val="14"/>
          <c:tx>
            <c:strRef>
              <c:f>Seccion1!$AT$99</c:f>
              <c:strCache>
                <c:ptCount val="1"/>
                <c:pt idx="0">
                  <c:v>ϴ'n_pr_2</c:v>
                </c:pt>
              </c:strCache>
            </c:strRef>
          </c:tx>
          <c:spPr>
            <a:ln w="22225" cap="rnd">
              <a:solidFill>
                <a:schemeClr val="accent2"/>
              </a:solidFill>
              <a:prstDash val="dash"/>
              <a:round/>
            </a:ln>
            <a:effectLst/>
          </c:spPr>
          <c:marker>
            <c:symbol val="circle"/>
            <c:size val="5"/>
            <c:spPr>
              <a:noFill/>
              <a:ln w="9525">
                <a:noFill/>
              </a:ln>
              <a:effectLst/>
            </c:spPr>
          </c:marker>
          <c:dLbls>
            <c:delete val="1"/>
          </c:dLbls>
          <c:xVal>
            <c:numRef>
              <c:f>Seccion1!$AL$101:$AL$113</c:f>
              <c:numCache>
                <c:formatCode>General</c:formatCode>
                <c:ptCount val="13"/>
                <c:pt idx="0">
                  <c:v>0</c:v>
                </c:pt>
                <c:pt idx="1">
                  <c:v>6.0000000000000001E-3</c:v>
                </c:pt>
                <c:pt idx="2">
                  <c:v>6.3699999999999998E-3</c:v>
                </c:pt>
                <c:pt idx="3">
                  <c:v>1.137E-2</c:v>
                </c:pt>
                <c:pt idx="4">
                  <c:v>0.13136999999999999</c:v>
                </c:pt>
                <c:pt idx="5">
                  <c:v>0.13156999999999999</c:v>
                </c:pt>
                <c:pt idx="6">
                  <c:v>0.14157</c:v>
                </c:pt>
                <c:pt idx="7">
                  <c:v>#N/A</c:v>
                </c:pt>
                <c:pt idx="8">
                  <c:v>#N/A</c:v>
                </c:pt>
                <c:pt idx="9">
                  <c:v>#N/A</c:v>
                </c:pt>
                <c:pt idx="10">
                  <c:v>#N/A</c:v>
                </c:pt>
                <c:pt idx="11">
                  <c:v>#N/A</c:v>
                </c:pt>
                <c:pt idx="12">
                  <c:v>#N/A</c:v>
                </c:pt>
              </c:numCache>
            </c:numRef>
          </c:xVal>
          <c:yVal>
            <c:numRef>
              <c:f>Seccion1!$AT$101:$AT$113</c:f>
              <c:numCache>
                <c:formatCode>0.0</c:formatCode>
                <c:ptCount val="13"/>
                <c:pt idx="0">
                  <c:v>-1.2170010266451134</c:v>
                </c:pt>
                <c:pt idx="1">
                  <c:v>-0.52930826853698199</c:v>
                </c:pt>
                <c:pt idx="2">
                  <c:v>-0.44198276912525941</c:v>
                </c:pt>
                <c:pt idx="3">
                  <c:v>-0.43398014268972612</c:v>
                </c:pt>
                <c:pt idx="4">
                  <c:v>-0.19696966094185181</c:v>
                </c:pt>
                <c:pt idx="5">
                  <c:v>14.424977917869578</c:v>
                </c:pt>
                <c:pt idx="6">
                  <c:v>14.489071414744854</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1-87CA-449A-B22D-5817DF24B555}"/>
            </c:ext>
          </c:extLst>
        </c:ser>
        <c:ser>
          <c:idx val="15"/>
          <c:order val="15"/>
          <c:tx>
            <c:strRef>
              <c:f>Seccion1!$AW$99</c:f>
              <c:strCache>
                <c:ptCount val="1"/>
                <c:pt idx="0">
                  <c:v>ϴ'n_pr_3</c:v>
                </c:pt>
              </c:strCache>
            </c:strRef>
          </c:tx>
          <c:spPr>
            <a:ln w="22225" cap="rnd">
              <a:solidFill>
                <a:schemeClr val="accent3"/>
              </a:solidFill>
              <a:prstDash val="dashDot"/>
              <a:round/>
            </a:ln>
            <a:effectLst/>
          </c:spPr>
          <c:marker>
            <c:symbol val="circle"/>
            <c:size val="5"/>
            <c:spPr>
              <a:noFill/>
              <a:ln w="9525">
                <a:noFill/>
              </a:ln>
              <a:effectLst/>
            </c:spPr>
          </c:marker>
          <c:dLbls>
            <c:delete val="1"/>
          </c:dLbls>
          <c:xVal>
            <c:numRef>
              <c:f>Seccion1!$AL$101:$AL$113</c:f>
              <c:numCache>
                <c:formatCode>General</c:formatCode>
                <c:ptCount val="13"/>
                <c:pt idx="0">
                  <c:v>0</c:v>
                </c:pt>
                <c:pt idx="1">
                  <c:v>6.0000000000000001E-3</c:v>
                </c:pt>
                <c:pt idx="2">
                  <c:v>6.3699999999999998E-3</c:v>
                </c:pt>
                <c:pt idx="3">
                  <c:v>1.137E-2</c:v>
                </c:pt>
                <c:pt idx="4">
                  <c:v>0.13136999999999999</c:v>
                </c:pt>
                <c:pt idx="5">
                  <c:v>0.13156999999999999</c:v>
                </c:pt>
                <c:pt idx="6">
                  <c:v>0.14157</c:v>
                </c:pt>
                <c:pt idx="7">
                  <c:v>#N/A</c:v>
                </c:pt>
                <c:pt idx="8">
                  <c:v>#N/A</c:v>
                </c:pt>
                <c:pt idx="9">
                  <c:v>#N/A</c:v>
                </c:pt>
                <c:pt idx="10">
                  <c:v>#N/A</c:v>
                </c:pt>
                <c:pt idx="11">
                  <c:v>#N/A</c:v>
                </c:pt>
                <c:pt idx="12">
                  <c:v>#N/A</c:v>
                </c:pt>
              </c:numCache>
            </c:numRef>
          </c:xVal>
          <c:yVal>
            <c:numRef>
              <c:f>Seccion1!$AW$101:$AW$113</c:f>
              <c:numCache>
                <c:formatCode>0.0</c:formatCode>
                <c:ptCount val="13"/>
                <c:pt idx="0">
                  <c:v>-1.2170010266451134</c:v>
                </c:pt>
                <c:pt idx="1">
                  <c:v>-0.46147520512806794</c:v>
                </c:pt>
                <c:pt idx="2">
                  <c:v>-0.3657736830036758</c:v>
                </c:pt>
                <c:pt idx="3">
                  <c:v>-0.35700607786462851</c:v>
                </c:pt>
                <c:pt idx="4">
                  <c:v>-9.7536195845989604E-2</c:v>
                </c:pt>
                <c:pt idx="5">
                  <c:v>15.422256374369844</c:v>
                </c:pt>
                <c:pt idx="6">
                  <c:v>15.488921561832724</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2-87CA-449A-B22D-5817DF24B555}"/>
            </c:ext>
          </c:extLst>
        </c:ser>
        <c:dLbls>
          <c:showLegendKey val="0"/>
          <c:showVal val="1"/>
          <c:showCatName val="0"/>
          <c:showSerName val="0"/>
          <c:showPercent val="0"/>
          <c:showBubbleSize val="0"/>
        </c:dLbls>
        <c:axId val="1047157256"/>
        <c:axId val="1047157584"/>
      </c:scatterChart>
      <c:valAx>
        <c:axId val="10471572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Espesor, 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crossAx val="1047157584"/>
        <c:crosses val="autoZero"/>
        <c:crossBetween val="midCat"/>
        <c:majorUnit val="1.0000000000000003E-4"/>
        <c:minorUnit val="2.0000000000000008E-5"/>
      </c:valAx>
      <c:valAx>
        <c:axId val="1047157584"/>
        <c:scaling>
          <c:orientation val="minMax"/>
        </c:scaling>
        <c:delete val="1"/>
        <c:axPos val="l"/>
        <c:numFmt formatCode="0.0" sourceLinked="1"/>
        <c:majorTickMark val="out"/>
        <c:minorTickMark val="none"/>
        <c:tickLblPos val="nextTo"/>
        <c:crossAx val="1047157256"/>
        <c:crosses val="autoZero"/>
        <c:crossBetween val="midCat"/>
      </c:valAx>
      <c:valAx>
        <c:axId val="650269456"/>
        <c:scaling>
          <c:orientation val="minMax"/>
        </c:scaling>
        <c:delete val="1"/>
        <c:axPos val="t"/>
        <c:numFmt formatCode="General" sourceLinked="1"/>
        <c:majorTickMark val="out"/>
        <c:minorTickMark val="none"/>
        <c:tickLblPos val="nextTo"/>
        <c:crossAx val="650268800"/>
        <c:crosses val="max"/>
        <c:crossBetween val="between"/>
      </c:valAx>
      <c:catAx>
        <c:axId val="650268800"/>
        <c:scaling>
          <c:orientation val="minMax"/>
        </c:scaling>
        <c:delete val="1"/>
        <c:axPos val="r"/>
        <c:majorTickMark val="out"/>
        <c:minorTickMark val="none"/>
        <c:tickLblPos val="nextTo"/>
        <c:crossAx val="650269456"/>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L"/>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Perfiles de temperatura</a:t>
            </a:r>
          </a:p>
        </c:rich>
      </c:tx>
      <c:layout>
        <c:manualLayout>
          <c:xMode val="edge"/>
          <c:yMode val="edge"/>
          <c:x val="0.3361352282515073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5.2501653439153431E-2"/>
          <c:y val="0.15765603495716435"/>
          <c:w val="0.9450115740740741"/>
          <c:h val="0.73878605256113372"/>
        </c:manualLayout>
      </c:layout>
      <c:barChart>
        <c:barDir val="bar"/>
        <c:grouping val="stacked"/>
        <c:varyColors val="0"/>
        <c:ser>
          <c:idx val="2"/>
          <c:order val="1"/>
          <c:tx>
            <c:strRef>
              <c:f>Seccion1!$S$24</c:f>
              <c:strCache>
                <c:ptCount val="1"/>
                <c:pt idx="0">
                  <c:v>Tingl. FC</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Seccion1!$Q$102</c:f>
              <c:numCache>
                <c:formatCode>General</c:formatCode>
                <c:ptCount val="1"/>
                <c:pt idx="0">
                  <c:v>6.0000000000000001E-3</c:v>
                </c:pt>
              </c:numCache>
            </c:numRef>
          </c:val>
          <c:extLst>
            <c:ext xmlns:c16="http://schemas.microsoft.com/office/drawing/2014/chart" uri="{C3380CC4-5D6E-409C-BE32-E72D297353CC}">
              <c16:uniqueId val="{00000000-F0AE-4FC3-80BD-A7D3B2750FBF}"/>
            </c:ext>
          </c:extLst>
        </c:ser>
        <c:ser>
          <c:idx val="3"/>
          <c:order val="2"/>
          <c:tx>
            <c:strRef>
              <c:f>Seccion1!$S$25</c:f>
              <c:strCache>
                <c:ptCount val="1"/>
                <c:pt idx="0">
                  <c:v>OSB</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Seccion1!$Q$103</c:f>
              <c:numCache>
                <c:formatCode>General</c:formatCode>
                <c:ptCount val="1"/>
                <c:pt idx="0">
                  <c:v>1.11E-2</c:v>
                </c:pt>
              </c:numCache>
            </c:numRef>
          </c:val>
          <c:extLst>
            <c:ext xmlns:c16="http://schemas.microsoft.com/office/drawing/2014/chart" uri="{C3380CC4-5D6E-409C-BE32-E72D297353CC}">
              <c16:uniqueId val="{00000001-F0AE-4FC3-80BD-A7D3B2750FBF}"/>
            </c:ext>
          </c:extLst>
        </c:ser>
        <c:ser>
          <c:idx val="4"/>
          <c:order val="3"/>
          <c:tx>
            <c:strRef>
              <c:f>Seccion1!$S$26</c:f>
              <c:strCache>
                <c:ptCount val="1"/>
                <c:pt idx="0">
                  <c:v>aire</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Seccion1!$Q$104</c:f>
              <c:numCache>
                <c:formatCode>General</c:formatCode>
                <c:ptCount val="1"/>
                <c:pt idx="0">
                  <c:v>5.0000000000000001E-3</c:v>
                </c:pt>
              </c:numCache>
            </c:numRef>
          </c:val>
          <c:extLst>
            <c:ext xmlns:c16="http://schemas.microsoft.com/office/drawing/2014/chart" uri="{C3380CC4-5D6E-409C-BE32-E72D297353CC}">
              <c16:uniqueId val="{00000002-F0AE-4FC3-80BD-A7D3B2750FBF}"/>
            </c:ext>
          </c:extLst>
        </c:ser>
        <c:ser>
          <c:idx val="5"/>
          <c:order val="4"/>
          <c:tx>
            <c:strRef>
              <c:f>Seccion1!$S$27</c:f>
              <c:strCache>
                <c:ptCount val="1"/>
                <c:pt idx="0">
                  <c:v>pol</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Seccion1!$Q$105</c:f>
              <c:numCache>
                <c:formatCode>General</c:formatCode>
                <c:ptCount val="1"/>
                <c:pt idx="0">
                  <c:v>0.12</c:v>
                </c:pt>
              </c:numCache>
            </c:numRef>
          </c:val>
          <c:extLst>
            <c:ext xmlns:c16="http://schemas.microsoft.com/office/drawing/2014/chart" uri="{C3380CC4-5D6E-409C-BE32-E72D297353CC}">
              <c16:uniqueId val="{00000003-F0AE-4FC3-80BD-A7D3B2750FBF}"/>
            </c:ext>
          </c:extLst>
        </c:ser>
        <c:ser>
          <c:idx val="6"/>
          <c:order val="5"/>
          <c:tx>
            <c:strRef>
              <c:f>Seccion1!$S$28</c:f>
              <c:strCache>
                <c:ptCount val="1"/>
                <c:pt idx="0">
                  <c:v>YC</c:v>
                </c:pt>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Seccion1!$Q$106</c:f>
              <c:numCache>
                <c:formatCode>General</c:formatCode>
                <c:ptCount val="1"/>
                <c:pt idx="0">
                  <c:v>0.01</c:v>
                </c:pt>
              </c:numCache>
            </c:numRef>
          </c:val>
          <c:extLst>
            <c:ext xmlns:c16="http://schemas.microsoft.com/office/drawing/2014/chart" uri="{C3380CC4-5D6E-409C-BE32-E72D297353CC}">
              <c16:uniqueId val="{00000004-F0AE-4FC3-80BD-A7D3B2750FBF}"/>
            </c:ext>
          </c:extLst>
        </c:ser>
        <c:ser>
          <c:idx val="7"/>
          <c:order val="6"/>
          <c:tx>
            <c:strRef>
              <c:f>Seccion1!$S$29</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Seccion1!$Q$107</c:f>
              <c:numCache>
                <c:formatCode>General</c:formatCode>
                <c:ptCount val="1"/>
                <c:pt idx="0">
                  <c:v>#N/A</c:v>
                </c:pt>
              </c:numCache>
            </c:numRef>
          </c:val>
          <c:extLst>
            <c:ext xmlns:c16="http://schemas.microsoft.com/office/drawing/2014/chart" uri="{C3380CC4-5D6E-409C-BE32-E72D297353CC}">
              <c16:uniqueId val="{00000005-F0AE-4FC3-80BD-A7D3B2750FBF}"/>
            </c:ext>
          </c:extLst>
        </c:ser>
        <c:ser>
          <c:idx val="8"/>
          <c:order val="7"/>
          <c:tx>
            <c:strRef>
              <c:f>Seccion1!$S$30</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Seccion1!$Q$108</c:f>
              <c:numCache>
                <c:formatCode>General</c:formatCode>
                <c:ptCount val="1"/>
                <c:pt idx="0">
                  <c:v>#N/A</c:v>
                </c:pt>
              </c:numCache>
            </c:numRef>
          </c:val>
          <c:extLst>
            <c:ext xmlns:c16="http://schemas.microsoft.com/office/drawing/2014/chart" uri="{C3380CC4-5D6E-409C-BE32-E72D297353CC}">
              <c16:uniqueId val="{00000006-F0AE-4FC3-80BD-A7D3B2750FBF}"/>
            </c:ext>
          </c:extLst>
        </c:ser>
        <c:ser>
          <c:idx val="9"/>
          <c:order val="8"/>
          <c:tx>
            <c:strRef>
              <c:f>Seccion1!$S$31</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Seccion1!$Q$109</c:f>
              <c:numCache>
                <c:formatCode>General</c:formatCode>
                <c:ptCount val="1"/>
                <c:pt idx="0">
                  <c:v>#N/A</c:v>
                </c:pt>
              </c:numCache>
            </c:numRef>
          </c:val>
          <c:extLst>
            <c:ext xmlns:c16="http://schemas.microsoft.com/office/drawing/2014/chart" uri="{C3380CC4-5D6E-409C-BE32-E72D297353CC}">
              <c16:uniqueId val="{00000007-F0AE-4FC3-80BD-A7D3B2750FBF}"/>
            </c:ext>
          </c:extLst>
        </c:ser>
        <c:ser>
          <c:idx val="10"/>
          <c:order val="9"/>
          <c:tx>
            <c:strRef>
              <c:f>Seccion1!$S$32</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Seccion1!$Q$110</c:f>
              <c:numCache>
                <c:formatCode>General</c:formatCode>
                <c:ptCount val="1"/>
                <c:pt idx="0">
                  <c:v>#N/A</c:v>
                </c:pt>
              </c:numCache>
            </c:numRef>
          </c:val>
          <c:extLst>
            <c:ext xmlns:c16="http://schemas.microsoft.com/office/drawing/2014/chart" uri="{C3380CC4-5D6E-409C-BE32-E72D297353CC}">
              <c16:uniqueId val="{00000008-F0AE-4FC3-80BD-A7D3B2750FBF}"/>
            </c:ext>
          </c:extLst>
        </c:ser>
        <c:ser>
          <c:idx val="11"/>
          <c:order val="10"/>
          <c:tx>
            <c:strRef>
              <c:f>Seccion1!$S$33</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Seccion1!$Q$111</c:f>
              <c:numCache>
                <c:formatCode>General</c:formatCode>
                <c:ptCount val="1"/>
                <c:pt idx="0">
                  <c:v>#N/A</c:v>
                </c:pt>
              </c:numCache>
            </c:numRef>
          </c:val>
          <c:extLst>
            <c:ext xmlns:c16="http://schemas.microsoft.com/office/drawing/2014/chart" uri="{C3380CC4-5D6E-409C-BE32-E72D297353CC}">
              <c16:uniqueId val="{00000009-F0AE-4FC3-80BD-A7D3B2750FBF}"/>
            </c:ext>
          </c:extLst>
        </c:ser>
        <c:ser>
          <c:idx val="12"/>
          <c:order val="11"/>
          <c:tx>
            <c:strRef>
              <c:f>Seccion1!$S$34</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Seccion1!$Q$112</c:f>
              <c:numCache>
                <c:formatCode>General</c:formatCode>
                <c:ptCount val="1"/>
                <c:pt idx="0">
                  <c:v>#N/A</c:v>
                </c:pt>
              </c:numCache>
            </c:numRef>
          </c:val>
          <c:extLst>
            <c:ext xmlns:c16="http://schemas.microsoft.com/office/drawing/2014/chart" uri="{C3380CC4-5D6E-409C-BE32-E72D297353CC}">
              <c16:uniqueId val="{0000000A-F0AE-4FC3-80BD-A7D3B2750FBF}"/>
            </c:ext>
          </c:extLst>
        </c:ser>
        <c:ser>
          <c:idx val="13"/>
          <c:order val="12"/>
          <c:tx>
            <c:strRef>
              <c:f>Seccion1!$S$35</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Seccion1!$Q$113</c:f>
              <c:numCache>
                <c:formatCode>General</c:formatCode>
                <c:ptCount val="1"/>
                <c:pt idx="0">
                  <c:v>#N/A</c:v>
                </c:pt>
              </c:numCache>
            </c:numRef>
          </c:val>
          <c:extLst>
            <c:ext xmlns:c16="http://schemas.microsoft.com/office/drawing/2014/chart" uri="{C3380CC4-5D6E-409C-BE32-E72D297353CC}">
              <c16:uniqueId val="{0000000B-F0AE-4FC3-80BD-A7D3B2750FBF}"/>
            </c:ext>
          </c:extLst>
        </c:ser>
        <c:dLbls>
          <c:showLegendKey val="0"/>
          <c:showVal val="1"/>
          <c:showCatName val="0"/>
          <c:showSerName val="0"/>
          <c:showPercent val="0"/>
          <c:showBubbleSize val="0"/>
        </c:dLbls>
        <c:gapWidth val="0"/>
        <c:overlap val="100"/>
        <c:axId val="650268800"/>
        <c:axId val="650269456"/>
      </c:barChart>
      <c:scatterChart>
        <c:scatterStyle val="lineMarker"/>
        <c:varyColors val="0"/>
        <c:ser>
          <c:idx val="0"/>
          <c:order val="0"/>
          <c:tx>
            <c:strRef>
              <c:f>Seccion1!$U$99</c:f>
              <c:strCache>
                <c:ptCount val="1"/>
                <c:pt idx="0">
                  <c:v>ϴ'n</c:v>
                </c:pt>
              </c:strCache>
            </c:strRef>
          </c:tx>
          <c:spPr>
            <a:ln w="22225" cap="rnd">
              <a:solidFill>
                <a:sysClr val="windowText" lastClr="000000"/>
              </a:solidFill>
              <a:round/>
            </a:ln>
            <a:effectLst/>
          </c:spPr>
          <c:marker>
            <c:symbol val="circle"/>
            <c:size val="5"/>
            <c:spPr>
              <a:noFill/>
              <a:ln w="9525">
                <a:noFill/>
              </a:ln>
              <a:effectLst/>
            </c:spPr>
          </c:marker>
          <c:dLbls>
            <c:numFmt formatCode="#,##0.0" sourceLinked="0"/>
            <c:spPr>
              <a:solidFill>
                <a:srgbClr val="F79646">
                  <a:lumMod val="20000"/>
                  <a:lumOff val="80000"/>
                  <a:alpha val="4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Seccion1!$R$101:$R$113</c:f>
              <c:numCache>
                <c:formatCode>General</c:formatCode>
                <c:ptCount val="13"/>
                <c:pt idx="0">
                  <c:v>0</c:v>
                </c:pt>
                <c:pt idx="1">
                  <c:v>6.0000000000000001E-3</c:v>
                </c:pt>
                <c:pt idx="2">
                  <c:v>1.7100000000000001E-2</c:v>
                </c:pt>
                <c:pt idx="3">
                  <c:v>2.2100000000000002E-2</c:v>
                </c:pt>
                <c:pt idx="4">
                  <c:v>0.1421</c:v>
                </c:pt>
                <c:pt idx="5">
                  <c:v>0.15210000000000001</c:v>
                </c:pt>
                <c:pt idx="6">
                  <c:v>#N/A</c:v>
                </c:pt>
                <c:pt idx="7">
                  <c:v>#N/A</c:v>
                </c:pt>
                <c:pt idx="8">
                  <c:v>#N/A</c:v>
                </c:pt>
                <c:pt idx="9">
                  <c:v>#N/A</c:v>
                </c:pt>
                <c:pt idx="10">
                  <c:v>#N/A</c:v>
                </c:pt>
                <c:pt idx="11">
                  <c:v>#N/A</c:v>
                </c:pt>
                <c:pt idx="12">
                  <c:v>#N/A</c:v>
                </c:pt>
              </c:numCache>
            </c:numRef>
          </c:xVal>
          <c:yVal>
            <c:numRef>
              <c:f>Seccion1!$U$101:$U$113</c:f>
              <c:numCache>
                <c:formatCode>0.0</c:formatCode>
                <c:ptCount val="13"/>
                <c:pt idx="0">
                  <c:v>-0.16816007705932362</c:v>
                </c:pt>
                <c:pt idx="1">
                  <c:v>-1.0087402327044193E-2</c:v>
                </c:pt>
                <c:pt idx="2">
                  <c:v>0.52604241947327013</c:v>
                </c:pt>
                <c:pt idx="3">
                  <c:v>1.1346222171925455</c:v>
                </c:pt>
                <c:pt idx="4">
                  <c:v>17.3095005618909</c:v>
                </c:pt>
                <c:pt idx="5">
                  <c:v>17.551000481620772</c:v>
                </c:pt>
                <c:pt idx="6">
                  <c:v>19.000000000000004</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C-F0AE-4FC3-80BD-A7D3B2750FBF}"/>
            </c:ext>
          </c:extLst>
        </c:ser>
        <c:ser>
          <c:idx val="1"/>
          <c:order val="13"/>
          <c:tx>
            <c:strRef>
              <c:f>Seccion1!$W$99</c:f>
              <c:strCache>
                <c:ptCount val="1"/>
                <c:pt idx="0">
                  <c:v>ϴ'n_pr_1</c:v>
                </c:pt>
              </c:strCache>
            </c:strRef>
          </c:tx>
          <c:spPr>
            <a:ln w="22225" cap="rnd">
              <a:solidFill>
                <a:schemeClr val="accent1"/>
              </a:solidFill>
              <a:prstDash val="sysDot"/>
              <a:round/>
            </a:ln>
            <a:effectLst/>
          </c:spPr>
          <c:marker>
            <c:symbol val="circle"/>
            <c:size val="5"/>
            <c:spPr>
              <a:noFill/>
              <a:ln w="9525">
                <a:solidFill>
                  <a:schemeClr val="accent1"/>
                </a:solidFill>
              </a:ln>
              <a:effectLst/>
            </c:spPr>
          </c:marker>
          <c:dLbls>
            <c:delete val="1"/>
          </c:dLbls>
          <c:xVal>
            <c:numRef>
              <c:f>Seccion1!$R$101:$R$113</c:f>
              <c:numCache>
                <c:formatCode>General</c:formatCode>
                <c:ptCount val="13"/>
                <c:pt idx="0">
                  <c:v>0</c:v>
                </c:pt>
                <c:pt idx="1">
                  <c:v>6.0000000000000001E-3</c:v>
                </c:pt>
                <c:pt idx="2">
                  <c:v>1.7100000000000001E-2</c:v>
                </c:pt>
                <c:pt idx="3">
                  <c:v>2.2100000000000002E-2</c:v>
                </c:pt>
                <c:pt idx="4">
                  <c:v>0.1421</c:v>
                </c:pt>
                <c:pt idx="5">
                  <c:v>0.15210000000000001</c:v>
                </c:pt>
                <c:pt idx="6">
                  <c:v>#N/A</c:v>
                </c:pt>
                <c:pt idx="7">
                  <c:v>#N/A</c:v>
                </c:pt>
                <c:pt idx="8">
                  <c:v>#N/A</c:v>
                </c:pt>
                <c:pt idx="9">
                  <c:v>#N/A</c:v>
                </c:pt>
                <c:pt idx="10">
                  <c:v>#N/A</c:v>
                </c:pt>
                <c:pt idx="11">
                  <c:v>#N/A</c:v>
                </c:pt>
                <c:pt idx="12">
                  <c:v>#N/A</c:v>
                </c:pt>
              </c:numCache>
            </c:numRef>
          </c:xVal>
          <c:yVal>
            <c:numRef>
              <c:f>Seccion1!$W$101:$W$113</c:f>
              <c:numCache>
                <c:formatCode>0.0</c:formatCode>
                <c:ptCount val="13"/>
                <c:pt idx="0">
                  <c:v>-1.2170010266451134</c:v>
                </c:pt>
                <c:pt idx="1">
                  <c:v>0.67078633623581774</c:v>
                </c:pt>
                <c:pt idx="2">
                  <c:v>7.6307427851613534</c:v>
                </c:pt>
                <c:pt idx="3">
                  <c:v>7.644449510632997</c:v>
                </c:pt>
                <c:pt idx="4">
                  <c:v>12.089594586781622</c:v>
                </c:pt>
                <c:pt idx="5">
                  <c:v>12.298357099136647</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D-F0AE-4FC3-80BD-A7D3B2750FBF}"/>
            </c:ext>
          </c:extLst>
        </c:ser>
        <c:ser>
          <c:idx val="14"/>
          <c:order val="14"/>
          <c:tx>
            <c:strRef>
              <c:f>Seccion1!$Z$99</c:f>
              <c:strCache>
                <c:ptCount val="1"/>
                <c:pt idx="0">
                  <c:v>ϴ'n_pr_2</c:v>
                </c:pt>
              </c:strCache>
            </c:strRef>
          </c:tx>
          <c:spPr>
            <a:ln w="22225" cap="rnd">
              <a:solidFill>
                <a:schemeClr val="accent2"/>
              </a:solidFill>
              <a:prstDash val="dash"/>
              <a:round/>
            </a:ln>
            <a:effectLst/>
          </c:spPr>
          <c:marker>
            <c:symbol val="circle"/>
            <c:size val="5"/>
            <c:spPr>
              <a:noFill/>
              <a:ln w="9525">
                <a:noFill/>
              </a:ln>
              <a:effectLst/>
            </c:spPr>
          </c:marker>
          <c:dLbls>
            <c:delete val="1"/>
          </c:dLbls>
          <c:xVal>
            <c:numRef>
              <c:f>Seccion1!$R$101:$R$113</c:f>
              <c:numCache>
                <c:formatCode>General</c:formatCode>
                <c:ptCount val="13"/>
                <c:pt idx="0">
                  <c:v>0</c:v>
                </c:pt>
                <c:pt idx="1">
                  <c:v>6.0000000000000001E-3</c:v>
                </c:pt>
                <c:pt idx="2">
                  <c:v>1.7100000000000001E-2</c:v>
                </c:pt>
                <c:pt idx="3">
                  <c:v>2.2100000000000002E-2</c:v>
                </c:pt>
                <c:pt idx="4">
                  <c:v>0.1421</c:v>
                </c:pt>
                <c:pt idx="5">
                  <c:v>0.15210000000000001</c:v>
                </c:pt>
                <c:pt idx="6">
                  <c:v>#N/A</c:v>
                </c:pt>
                <c:pt idx="7">
                  <c:v>#N/A</c:v>
                </c:pt>
                <c:pt idx="8">
                  <c:v>#N/A</c:v>
                </c:pt>
                <c:pt idx="9">
                  <c:v>#N/A</c:v>
                </c:pt>
                <c:pt idx="10">
                  <c:v>#N/A</c:v>
                </c:pt>
                <c:pt idx="11">
                  <c:v>#N/A</c:v>
                </c:pt>
                <c:pt idx="12">
                  <c:v>#N/A</c:v>
                </c:pt>
              </c:numCache>
            </c:numRef>
          </c:xVal>
          <c:yVal>
            <c:numRef>
              <c:f>Seccion1!$Z$101:$Z$113</c:f>
              <c:numCache>
                <c:formatCode>0.0</c:formatCode>
                <c:ptCount val="13"/>
                <c:pt idx="0">
                  <c:v>-1.2170010266451134</c:v>
                </c:pt>
                <c:pt idx="1">
                  <c:v>1.1145088152433513</c:v>
                </c:pt>
                <c:pt idx="2">
                  <c:v>9.2682787165814879</c:v>
                </c:pt>
                <c:pt idx="3">
                  <c:v>9.2838361598934878</c:v>
                </c:pt>
                <c:pt idx="4">
                  <c:v>14.258443549431414</c:v>
                </c:pt>
                <c:pt idx="5">
                  <c:v>14.489071414744854</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1-E81B-48BD-8FEE-B53CCA54BAAD}"/>
            </c:ext>
          </c:extLst>
        </c:ser>
        <c:ser>
          <c:idx val="15"/>
          <c:order val="15"/>
          <c:tx>
            <c:strRef>
              <c:f>Seccion1!$AC$99</c:f>
              <c:strCache>
                <c:ptCount val="1"/>
                <c:pt idx="0">
                  <c:v>ϴ'n_pr_3</c:v>
                </c:pt>
              </c:strCache>
            </c:strRef>
          </c:tx>
          <c:spPr>
            <a:ln w="22225" cap="rnd">
              <a:solidFill>
                <a:schemeClr val="accent3"/>
              </a:solidFill>
              <a:prstDash val="dashDot"/>
              <a:round/>
            </a:ln>
            <a:effectLst/>
          </c:spPr>
          <c:marker>
            <c:symbol val="circle"/>
            <c:size val="5"/>
            <c:spPr>
              <a:noFill/>
              <a:ln w="9525">
                <a:noFill/>
              </a:ln>
              <a:effectLst/>
            </c:spPr>
          </c:marker>
          <c:dLbls>
            <c:delete val="1"/>
          </c:dLbls>
          <c:xVal>
            <c:numRef>
              <c:f>Seccion1!$R$101:$R$113</c:f>
              <c:numCache>
                <c:formatCode>General</c:formatCode>
                <c:ptCount val="13"/>
                <c:pt idx="0">
                  <c:v>0</c:v>
                </c:pt>
                <c:pt idx="1">
                  <c:v>6.0000000000000001E-3</c:v>
                </c:pt>
                <c:pt idx="2">
                  <c:v>1.7100000000000001E-2</c:v>
                </c:pt>
                <c:pt idx="3">
                  <c:v>2.2100000000000002E-2</c:v>
                </c:pt>
                <c:pt idx="4">
                  <c:v>0.1421</c:v>
                </c:pt>
                <c:pt idx="5">
                  <c:v>0.15210000000000001</c:v>
                </c:pt>
                <c:pt idx="6">
                  <c:v>#N/A</c:v>
                </c:pt>
                <c:pt idx="7">
                  <c:v>#N/A</c:v>
                </c:pt>
                <c:pt idx="8">
                  <c:v>#N/A</c:v>
                </c:pt>
                <c:pt idx="9">
                  <c:v>#N/A</c:v>
                </c:pt>
                <c:pt idx="10">
                  <c:v>#N/A</c:v>
                </c:pt>
                <c:pt idx="11">
                  <c:v>#N/A</c:v>
                </c:pt>
                <c:pt idx="12">
                  <c:v>#N/A</c:v>
                </c:pt>
              </c:numCache>
            </c:numRef>
          </c:xVal>
          <c:yVal>
            <c:numRef>
              <c:f>Seccion1!$AC$101:$AC$113</c:f>
              <c:numCache>
                <c:formatCode>0.0</c:formatCode>
                <c:ptCount val="13"/>
                <c:pt idx="0">
                  <c:v>-1.2170010266451134</c:v>
                </c:pt>
                <c:pt idx="1">
                  <c:v>1.3316735480360087</c:v>
                </c:pt>
                <c:pt idx="2">
                  <c:v>10.030148704608713</c:v>
                </c:pt>
                <c:pt idx="3">
                  <c:v>10.046514305045381</c:v>
                </c:pt>
                <c:pt idx="4">
                  <c:v>15.24900474733203</c:v>
                </c:pt>
                <c:pt idx="5">
                  <c:v>15.488921561832724</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2-E81B-48BD-8FEE-B53CCA54BAAD}"/>
            </c:ext>
          </c:extLst>
        </c:ser>
        <c:dLbls>
          <c:showLegendKey val="0"/>
          <c:showVal val="1"/>
          <c:showCatName val="0"/>
          <c:showSerName val="0"/>
          <c:showPercent val="0"/>
          <c:showBubbleSize val="0"/>
        </c:dLbls>
        <c:axId val="1047157256"/>
        <c:axId val="1047157584"/>
      </c:scatterChart>
      <c:valAx>
        <c:axId val="10471572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s-CL" sz="1100"/>
                  <a:t>Espesor, 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crossAx val="1047157584"/>
        <c:crosses val="autoZero"/>
        <c:crossBetween val="midCat"/>
        <c:majorUnit val="1.0000000000000003E-4"/>
        <c:minorUnit val="2.0000000000000008E-5"/>
      </c:valAx>
      <c:valAx>
        <c:axId val="1047157584"/>
        <c:scaling>
          <c:orientation val="minMax"/>
        </c:scaling>
        <c:delete val="1"/>
        <c:axPos val="l"/>
        <c:numFmt formatCode="0.0" sourceLinked="1"/>
        <c:majorTickMark val="out"/>
        <c:minorTickMark val="none"/>
        <c:tickLblPos val="nextTo"/>
        <c:crossAx val="1047157256"/>
        <c:crosses val="autoZero"/>
        <c:crossBetween val="midCat"/>
      </c:valAx>
      <c:valAx>
        <c:axId val="650269456"/>
        <c:scaling>
          <c:orientation val="minMax"/>
        </c:scaling>
        <c:delete val="1"/>
        <c:axPos val="t"/>
        <c:numFmt formatCode="General" sourceLinked="1"/>
        <c:majorTickMark val="out"/>
        <c:minorTickMark val="none"/>
        <c:tickLblPos val="nextTo"/>
        <c:crossAx val="650268800"/>
        <c:crosses val="max"/>
        <c:crossBetween val="between"/>
      </c:valAx>
      <c:catAx>
        <c:axId val="650268800"/>
        <c:scaling>
          <c:orientation val="minMax"/>
        </c:scaling>
        <c:delete val="1"/>
        <c:axPos val="r"/>
        <c:majorTickMark val="out"/>
        <c:minorTickMark val="none"/>
        <c:tickLblPos val="nextTo"/>
        <c:crossAx val="650269456"/>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L"/>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Perfiles de presión de vapor</a:t>
            </a:r>
            <a:r>
              <a:rPr lang="es-CL" baseline="0"/>
              <a:t> de agua</a:t>
            </a:r>
            <a:endParaRPr lang="es-CL"/>
          </a:p>
        </c:rich>
      </c:tx>
      <c:layout>
        <c:manualLayout>
          <c:xMode val="edge"/>
          <c:yMode val="edge"/>
          <c:x val="0.21326669254658387"/>
          <c:y val="5.512259945130315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4.725188111638199E-2"/>
          <c:y val="0.14259678819444443"/>
          <c:w val="0.95026117777222929"/>
          <c:h val="0.7538450520833333"/>
        </c:manualLayout>
      </c:layout>
      <c:barChart>
        <c:barDir val="bar"/>
        <c:grouping val="stacked"/>
        <c:varyColors val="0"/>
        <c:ser>
          <c:idx val="2"/>
          <c:order val="4"/>
          <c:tx>
            <c:strRef>
              <c:f>Seccion2!$S$24</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Seccion2!$S$102</c:f>
              <c:numCache>
                <c:formatCode>General</c:formatCode>
                <c:ptCount val="1"/>
                <c:pt idx="0">
                  <c:v>#N/A</c:v>
                </c:pt>
              </c:numCache>
            </c:numRef>
          </c:val>
          <c:extLst>
            <c:ext xmlns:c16="http://schemas.microsoft.com/office/drawing/2014/chart" uri="{C3380CC4-5D6E-409C-BE32-E72D297353CC}">
              <c16:uniqueId val="{00000000-2F86-4F38-998A-35508D8D9B96}"/>
            </c:ext>
          </c:extLst>
        </c:ser>
        <c:ser>
          <c:idx val="3"/>
          <c:order val="5"/>
          <c:tx>
            <c:strRef>
              <c:f>Seccion2!$S$25</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Seccion2!$S$103</c:f>
              <c:numCache>
                <c:formatCode>General</c:formatCode>
                <c:ptCount val="1"/>
                <c:pt idx="0">
                  <c:v>#N/A</c:v>
                </c:pt>
              </c:numCache>
            </c:numRef>
          </c:val>
          <c:extLst>
            <c:ext xmlns:c16="http://schemas.microsoft.com/office/drawing/2014/chart" uri="{C3380CC4-5D6E-409C-BE32-E72D297353CC}">
              <c16:uniqueId val="{00000001-2F86-4F38-998A-35508D8D9B96}"/>
            </c:ext>
          </c:extLst>
        </c:ser>
        <c:ser>
          <c:idx val="4"/>
          <c:order val="6"/>
          <c:tx>
            <c:strRef>
              <c:f>Seccion2!$S$26</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Seccion2!$S$104</c:f>
              <c:numCache>
                <c:formatCode>General</c:formatCode>
                <c:ptCount val="1"/>
                <c:pt idx="0">
                  <c:v>#N/A</c:v>
                </c:pt>
              </c:numCache>
            </c:numRef>
          </c:val>
          <c:extLst>
            <c:ext xmlns:c16="http://schemas.microsoft.com/office/drawing/2014/chart" uri="{C3380CC4-5D6E-409C-BE32-E72D297353CC}">
              <c16:uniqueId val="{00000002-2F86-4F38-998A-35508D8D9B96}"/>
            </c:ext>
          </c:extLst>
        </c:ser>
        <c:ser>
          <c:idx val="5"/>
          <c:order val="7"/>
          <c:tx>
            <c:strRef>
              <c:f>Seccion2!$S$27</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Seccion2!$S$105</c:f>
              <c:numCache>
                <c:formatCode>General</c:formatCode>
                <c:ptCount val="1"/>
                <c:pt idx="0">
                  <c:v>#N/A</c:v>
                </c:pt>
              </c:numCache>
            </c:numRef>
          </c:val>
          <c:extLst>
            <c:ext xmlns:c16="http://schemas.microsoft.com/office/drawing/2014/chart" uri="{C3380CC4-5D6E-409C-BE32-E72D297353CC}">
              <c16:uniqueId val="{00000003-2F86-4F38-998A-35508D8D9B96}"/>
            </c:ext>
          </c:extLst>
        </c:ser>
        <c:ser>
          <c:idx val="6"/>
          <c:order val="8"/>
          <c:tx>
            <c:strRef>
              <c:f>Seccion2!$S$28</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Seccion2!$S$106</c:f>
              <c:numCache>
                <c:formatCode>General</c:formatCode>
                <c:ptCount val="1"/>
                <c:pt idx="0">
                  <c:v>#N/A</c:v>
                </c:pt>
              </c:numCache>
            </c:numRef>
          </c:val>
          <c:extLst>
            <c:ext xmlns:c16="http://schemas.microsoft.com/office/drawing/2014/chart" uri="{C3380CC4-5D6E-409C-BE32-E72D297353CC}">
              <c16:uniqueId val="{00000004-2F86-4F38-998A-35508D8D9B96}"/>
            </c:ext>
          </c:extLst>
        </c:ser>
        <c:ser>
          <c:idx val="7"/>
          <c:order val="9"/>
          <c:tx>
            <c:strRef>
              <c:f>Seccion2!$S$29</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Seccion2!$S$107</c:f>
              <c:numCache>
                <c:formatCode>General</c:formatCode>
                <c:ptCount val="1"/>
                <c:pt idx="0">
                  <c:v>#N/A</c:v>
                </c:pt>
              </c:numCache>
            </c:numRef>
          </c:val>
          <c:extLst>
            <c:ext xmlns:c16="http://schemas.microsoft.com/office/drawing/2014/chart" uri="{C3380CC4-5D6E-409C-BE32-E72D297353CC}">
              <c16:uniqueId val="{00000005-2F86-4F38-998A-35508D8D9B96}"/>
            </c:ext>
          </c:extLst>
        </c:ser>
        <c:ser>
          <c:idx val="8"/>
          <c:order val="10"/>
          <c:tx>
            <c:strRef>
              <c:f>Seccion2!$S$30</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Seccion2!$S$108</c:f>
              <c:numCache>
                <c:formatCode>General</c:formatCode>
                <c:ptCount val="1"/>
                <c:pt idx="0">
                  <c:v>#N/A</c:v>
                </c:pt>
              </c:numCache>
            </c:numRef>
          </c:val>
          <c:extLst>
            <c:ext xmlns:c16="http://schemas.microsoft.com/office/drawing/2014/chart" uri="{C3380CC4-5D6E-409C-BE32-E72D297353CC}">
              <c16:uniqueId val="{00000006-2F86-4F38-998A-35508D8D9B96}"/>
            </c:ext>
          </c:extLst>
        </c:ser>
        <c:ser>
          <c:idx val="9"/>
          <c:order val="11"/>
          <c:tx>
            <c:strRef>
              <c:f>Seccion2!$S$31</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Seccion2!$S$109</c:f>
              <c:numCache>
                <c:formatCode>General</c:formatCode>
                <c:ptCount val="1"/>
                <c:pt idx="0">
                  <c:v>#N/A</c:v>
                </c:pt>
              </c:numCache>
            </c:numRef>
          </c:val>
          <c:extLst>
            <c:ext xmlns:c16="http://schemas.microsoft.com/office/drawing/2014/chart" uri="{C3380CC4-5D6E-409C-BE32-E72D297353CC}">
              <c16:uniqueId val="{00000007-2F86-4F38-998A-35508D8D9B96}"/>
            </c:ext>
          </c:extLst>
        </c:ser>
        <c:ser>
          <c:idx val="10"/>
          <c:order val="12"/>
          <c:tx>
            <c:strRef>
              <c:f>Seccion2!$S$32</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Seccion2!$S$110</c:f>
              <c:numCache>
                <c:formatCode>General</c:formatCode>
                <c:ptCount val="1"/>
                <c:pt idx="0">
                  <c:v>#N/A</c:v>
                </c:pt>
              </c:numCache>
            </c:numRef>
          </c:val>
          <c:extLst>
            <c:ext xmlns:c16="http://schemas.microsoft.com/office/drawing/2014/chart" uri="{C3380CC4-5D6E-409C-BE32-E72D297353CC}">
              <c16:uniqueId val="{00000008-2F86-4F38-998A-35508D8D9B96}"/>
            </c:ext>
          </c:extLst>
        </c:ser>
        <c:ser>
          <c:idx val="11"/>
          <c:order val="13"/>
          <c:tx>
            <c:strRef>
              <c:f>Seccion2!$S$33</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Seccion2!$S$111</c:f>
              <c:numCache>
                <c:formatCode>General</c:formatCode>
                <c:ptCount val="1"/>
                <c:pt idx="0">
                  <c:v>#N/A</c:v>
                </c:pt>
              </c:numCache>
            </c:numRef>
          </c:val>
          <c:extLst>
            <c:ext xmlns:c16="http://schemas.microsoft.com/office/drawing/2014/chart" uri="{C3380CC4-5D6E-409C-BE32-E72D297353CC}">
              <c16:uniqueId val="{00000009-2F86-4F38-998A-35508D8D9B96}"/>
            </c:ext>
          </c:extLst>
        </c:ser>
        <c:ser>
          <c:idx val="12"/>
          <c:order val="14"/>
          <c:tx>
            <c:strRef>
              <c:f>Seccion2!$S$34</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Seccion2!$S$112</c:f>
              <c:numCache>
                <c:formatCode>General</c:formatCode>
                <c:ptCount val="1"/>
                <c:pt idx="0">
                  <c:v>#N/A</c:v>
                </c:pt>
              </c:numCache>
            </c:numRef>
          </c:val>
          <c:extLst>
            <c:ext xmlns:c16="http://schemas.microsoft.com/office/drawing/2014/chart" uri="{C3380CC4-5D6E-409C-BE32-E72D297353CC}">
              <c16:uniqueId val="{0000000A-2F86-4F38-998A-35508D8D9B96}"/>
            </c:ext>
          </c:extLst>
        </c:ser>
        <c:ser>
          <c:idx val="13"/>
          <c:order val="15"/>
          <c:tx>
            <c:strRef>
              <c:f>Seccion2!$S$35</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Seccion2!$S$113</c:f>
              <c:numCache>
                <c:formatCode>General</c:formatCode>
                <c:ptCount val="1"/>
                <c:pt idx="0">
                  <c:v>#N/A</c:v>
                </c:pt>
              </c:numCache>
            </c:numRef>
          </c:val>
          <c:extLst>
            <c:ext xmlns:c16="http://schemas.microsoft.com/office/drawing/2014/chart" uri="{C3380CC4-5D6E-409C-BE32-E72D297353CC}">
              <c16:uniqueId val="{0000000B-2F86-4F38-998A-35508D8D9B96}"/>
            </c:ext>
          </c:extLst>
        </c:ser>
        <c:dLbls>
          <c:showLegendKey val="0"/>
          <c:showVal val="0"/>
          <c:showCatName val="0"/>
          <c:showSerName val="0"/>
          <c:showPercent val="0"/>
          <c:showBubbleSize val="0"/>
        </c:dLbls>
        <c:gapWidth val="0"/>
        <c:overlap val="100"/>
        <c:axId val="650268800"/>
        <c:axId val="650269456"/>
      </c:barChart>
      <c:scatterChart>
        <c:scatterStyle val="lineMarker"/>
        <c:varyColors val="0"/>
        <c:ser>
          <c:idx val="0"/>
          <c:order val="0"/>
          <c:tx>
            <c:v>Psat</c:v>
          </c:tx>
          <c:spPr>
            <a:ln w="22225" cap="rnd">
              <a:solidFill>
                <a:sysClr val="windowText" lastClr="000000"/>
              </a:solidFill>
              <a:round/>
            </a:ln>
            <a:effectLst/>
          </c:spPr>
          <c:marker>
            <c:symbol val="none"/>
          </c:marker>
          <c:dLbls>
            <c:numFmt formatCode="#,##0" sourceLinked="0"/>
            <c:spPr>
              <a:solidFill>
                <a:srgbClr val="F79646">
                  <a:lumMod val="20000"/>
                  <a:lumOff val="80000"/>
                  <a:alpha val="4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Seccion2!$T$101:$T$113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Seccion2!$V$101:$V$113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C-2F86-4F38-998A-35508D8D9B96}"/>
            </c:ext>
          </c:extLst>
        </c:ser>
        <c:ser>
          <c:idx val="1"/>
          <c:order val="1"/>
          <c:tx>
            <c:strRef>
              <c:f>Seccion2!$X$99</c:f>
              <c:strCache>
                <c:ptCount val="1"/>
                <c:pt idx="0">
                  <c:v>P HR_1</c:v>
                </c:pt>
              </c:strCache>
            </c:strRef>
          </c:tx>
          <c:spPr>
            <a:ln w="22225" cap="rnd">
              <a:solidFill>
                <a:schemeClr val="accent1"/>
              </a:solidFill>
              <a:prstDash val="sysDot"/>
              <a:round/>
            </a:ln>
            <a:effectLst/>
          </c:spPr>
          <c:marker>
            <c:symbol val="none"/>
          </c:marker>
          <c:xVal>
            <c:numRef>
              <c:f>Seccion2!$T$101:$T$113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Seccion2!$X$101:$X$113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D-2F86-4F38-998A-35508D8D9B96}"/>
            </c:ext>
          </c:extLst>
        </c:ser>
        <c:ser>
          <c:idx val="14"/>
          <c:order val="2"/>
          <c:tx>
            <c:strRef>
              <c:f>Seccion2!$AA$99</c:f>
              <c:strCache>
                <c:ptCount val="1"/>
                <c:pt idx="0">
                  <c:v>P HR_2</c:v>
                </c:pt>
              </c:strCache>
            </c:strRef>
          </c:tx>
          <c:spPr>
            <a:ln w="22225" cap="rnd">
              <a:solidFill>
                <a:schemeClr val="accent2"/>
              </a:solidFill>
              <a:prstDash val="dash"/>
              <a:round/>
            </a:ln>
            <a:effectLst/>
          </c:spPr>
          <c:marker>
            <c:symbol val="none"/>
          </c:marker>
          <c:xVal>
            <c:numRef>
              <c:f>Seccion2!$T$101:$T$113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Seccion2!$AA$101:$AA$113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E-2F86-4F38-998A-35508D8D9B96}"/>
            </c:ext>
          </c:extLst>
        </c:ser>
        <c:ser>
          <c:idx val="15"/>
          <c:order val="3"/>
          <c:tx>
            <c:strRef>
              <c:f>Seccion2!$AD$99</c:f>
              <c:strCache>
                <c:ptCount val="1"/>
                <c:pt idx="0">
                  <c:v>P HR_3</c:v>
                </c:pt>
              </c:strCache>
            </c:strRef>
          </c:tx>
          <c:spPr>
            <a:ln w="22225" cap="rnd">
              <a:solidFill>
                <a:schemeClr val="accent3"/>
              </a:solidFill>
              <a:prstDash val="dashDot"/>
              <a:round/>
            </a:ln>
            <a:effectLst/>
          </c:spPr>
          <c:marker>
            <c:symbol val="none"/>
          </c:marker>
          <c:xVal>
            <c:numRef>
              <c:f>Seccion2!$T$101:$T$113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Seccion2!$AD$101:$AD$113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F-2F86-4F38-998A-35508D8D9B96}"/>
            </c:ext>
          </c:extLst>
        </c:ser>
        <c:dLbls>
          <c:showLegendKey val="0"/>
          <c:showVal val="0"/>
          <c:showCatName val="0"/>
          <c:showSerName val="0"/>
          <c:showPercent val="0"/>
          <c:showBubbleSize val="0"/>
        </c:dLbls>
        <c:axId val="1047157256"/>
        <c:axId val="1047157584"/>
      </c:scatterChart>
      <c:valAx>
        <c:axId val="10471572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s-CL" sz="1100"/>
                  <a:t>Espesor</a:t>
                </a:r>
                <a:r>
                  <a:rPr lang="es-CL" sz="1100" baseline="0"/>
                  <a:t> de capa de aire equivalente, S</a:t>
                </a:r>
                <a:r>
                  <a:rPr lang="es-CL" sz="1100" baseline="-25000"/>
                  <a:t>d</a:t>
                </a:r>
                <a:endParaRPr lang="es-CL" sz="1100"/>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crossAx val="1047157584"/>
        <c:crosses val="autoZero"/>
        <c:crossBetween val="midCat"/>
        <c:majorUnit val="0.1"/>
      </c:valAx>
      <c:valAx>
        <c:axId val="1047157584"/>
        <c:scaling>
          <c:orientation val="minMax"/>
          <c:min val="500"/>
        </c:scaling>
        <c:delete val="1"/>
        <c:axPos val="l"/>
        <c:numFmt formatCode="0.0" sourceLinked="1"/>
        <c:majorTickMark val="out"/>
        <c:minorTickMark val="none"/>
        <c:tickLblPos val="nextTo"/>
        <c:crossAx val="1047157256"/>
        <c:crosses val="autoZero"/>
        <c:crossBetween val="midCat"/>
      </c:valAx>
      <c:valAx>
        <c:axId val="650269456"/>
        <c:scaling>
          <c:orientation val="minMax"/>
        </c:scaling>
        <c:delete val="1"/>
        <c:axPos val="t"/>
        <c:numFmt formatCode="General" sourceLinked="1"/>
        <c:majorTickMark val="out"/>
        <c:minorTickMark val="none"/>
        <c:tickLblPos val="nextTo"/>
        <c:crossAx val="650268800"/>
        <c:crosses val="max"/>
        <c:crossBetween val="between"/>
      </c:valAx>
      <c:catAx>
        <c:axId val="650268800"/>
        <c:scaling>
          <c:orientation val="minMax"/>
        </c:scaling>
        <c:delete val="1"/>
        <c:axPos val="r"/>
        <c:majorTickMark val="out"/>
        <c:minorTickMark val="none"/>
        <c:tickLblPos val="nextTo"/>
        <c:crossAx val="650269456"/>
        <c:crosses val="max"/>
        <c:auto val="1"/>
        <c:lblAlgn val="ctr"/>
        <c:lblOffset val="100"/>
        <c:noMultiLvlLbl val="0"/>
      </c:catAx>
      <c:spPr>
        <a:noFill/>
        <a:ln>
          <a:noFill/>
        </a:ln>
        <a:effectLst/>
      </c:spPr>
    </c:plotArea>
    <c:plotVisOnly val="0"/>
    <c:dispBlanksAs val="gap"/>
    <c:showDLblsOverMax val="0"/>
  </c:chart>
  <c:spPr>
    <a:noFill/>
    <a:ln w="9525" cap="flat" cmpd="sng" algn="ctr">
      <a:solidFill>
        <a:sysClr val="windowText" lastClr="000000"/>
      </a:solidFill>
      <a:round/>
    </a:ln>
    <a:effectLst/>
  </c:spPr>
  <c:txPr>
    <a:bodyPr/>
    <a:lstStyle/>
    <a:p>
      <a:pPr>
        <a:defRPr/>
      </a:pPr>
      <a:endParaRPr lang="es-CL"/>
    </a:p>
  </c:txPr>
  <c:printSettings>
    <c:headerFooter/>
    <c:pageMargins b="0.75" l="0.7" r="0.7" t="0.75"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Perfiles de presión de vapor</a:t>
            </a:r>
            <a:r>
              <a:rPr lang="es-CL" baseline="0"/>
              <a:t> de agua</a:t>
            </a:r>
            <a:endParaRPr lang="es-CL"/>
          </a:p>
        </c:rich>
      </c:tx>
      <c:layout>
        <c:manualLayout>
          <c:xMode val="edge"/>
          <c:yMode val="edge"/>
          <c:x val="0.20778877674258109"/>
          <c:y val="1.102451989026063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4.7251984126984121E-2"/>
          <c:y val="0.12606052812071331"/>
          <c:w val="0.95026117777222929"/>
          <c:h val="0.77038160028608016"/>
        </c:manualLayout>
      </c:layout>
      <c:barChart>
        <c:barDir val="bar"/>
        <c:grouping val="stacked"/>
        <c:varyColors val="0"/>
        <c:ser>
          <c:idx val="2"/>
          <c:order val="4"/>
          <c:tx>
            <c:strRef>
              <c:f>Seccion2!$T$24</c:f>
              <c:strCache>
                <c:ptCount val="1"/>
              </c:strCache>
            </c:strRef>
          </c:tx>
          <c:spPr>
            <a:solidFill>
              <a:schemeClr val="accent3"/>
            </a:solidFill>
            <a:ln>
              <a:noFill/>
            </a:ln>
            <a:effectLst/>
          </c:spPr>
          <c:invertIfNegative val="0"/>
          <c:dPt>
            <c:idx val="0"/>
            <c:invertIfNegative val="0"/>
            <c:bubble3D val="0"/>
            <c:spPr>
              <a:solidFill>
                <a:schemeClr val="bg1"/>
              </a:solidFill>
              <a:ln>
                <a:solidFill>
                  <a:sysClr val="windowText" lastClr="000000"/>
                </a:solidFill>
              </a:ln>
              <a:effectLst/>
            </c:spPr>
            <c:extLst>
              <c:ext xmlns:c16="http://schemas.microsoft.com/office/drawing/2014/chart" uri="{C3380CC4-5D6E-409C-BE32-E72D297353CC}">
                <c16:uniqueId val="{00000001-F494-4065-A97C-4EDF58D807FC}"/>
              </c:ext>
            </c:extLst>
          </c:dPt>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Seccion2!$AM$102</c:f>
              <c:numCache>
                <c:formatCode>General</c:formatCode>
                <c:ptCount val="1"/>
                <c:pt idx="0">
                  <c:v>#N/A</c:v>
                </c:pt>
              </c:numCache>
            </c:numRef>
          </c:val>
          <c:extLst>
            <c:ext xmlns:c16="http://schemas.microsoft.com/office/drawing/2014/chart" uri="{C3380CC4-5D6E-409C-BE32-E72D297353CC}">
              <c16:uniqueId val="{00000000-77B5-40A5-9F53-A82F9C28A73A}"/>
            </c:ext>
          </c:extLst>
        </c:ser>
        <c:ser>
          <c:idx val="3"/>
          <c:order val="5"/>
          <c:tx>
            <c:strRef>
              <c:f>Seccion2!$T$25</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Seccion2!$AM$103</c:f>
              <c:numCache>
                <c:formatCode>General</c:formatCode>
                <c:ptCount val="1"/>
                <c:pt idx="0">
                  <c:v>#N/A</c:v>
                </c:pt>
              </c:numCache>
            </c:numRef>
          </c:val>
          <c:extLst>
            <c:ext xmlns:c16="http://schemas.microsoft.com/office/drawing/2014/chart" uri="{C3380CC4-5D6E-409C-BE32-E72D297353CC}">
              <c16:uniqueId val="{00000001-77B5-40A5-9F53-A82F9C28A73A}"/>
            </c:ext>
          </c:extLst>
        </c:ser>
        <c:ser>
          <c:idx val="4"/>
          <c:order val="6"/>
          <c:tx>
            <c:strRef>
              <c:f>Seccion2!$T$26</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Seccion2!$AM$104</c:f>
              <c:numCache>
                <c:formatCode>General</c:formatCode>
                <c:ptCount val="1"/>
                <c:pt idx="0">
                  <c:v>#N/A</c:v>
                </c:pt>
              </c:numCache>
            </c:numRef>
          </c:val>
          <c:extLst>
            <c:ext xmlns:c16="http://schemas.microsoft.com/office/drawing/2014/chart" uri="{C3380CC4-5D6E-409C-BE32-E72D297353CC}">
              <c16:uniqueId val="{00000002-77B5-40A5-9F53-A82F9C28A73A}"/>
            </c:ext>
          </c:extLst>
        </c:ser>
        <c:ser>
          <c:idx val="5"/>
          <c:order val="7"/>
          <c:tx>
            <c:strRef>
              <c:f>Seccion2!$T$27</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Seccion2!$AM$105</c:f>
              <c:numCache>
                <c:formatCode>General</c:formatCode>
                <c:ptCount val="1"/>
                <c:pt idx="0">
                  <c:v>#N/A</c:v>
                </c:pt>
              </c:numCache>
            </c:numRef>
          </c:val>
          <c:extLst>
            <c:ext xmlns:c16="http://schemas.microsoft.com/office/drawing/2014/chart" uri="{C3380CC4-5D6E-409C-BE32-E72D297353CC}">
              <c16:uniqueId val="{00000003-77B5-40A5-9F53-A82F9C28A73A}"/>
            </c:ext>
          </c:extLst>
        </c:ser>
        <c:ser>
          <c:idx val="6"/>
          <c:order val="8"/>
          <c:tx>
            <c:strRef>
              <c:f>Seccion2!$T$28</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Seccion2!$AM$106</c:f>
              <c:numCache>
                <c:formatCode>General</c:formatCode>
                <c:ptCount val="1"/>
                <c:pt idx="0">
                  <c:v>#N/A</c:v>
                </c:pt>
              </c:numCache>
            </c:numRef>
          </c:val>
          <c:extLst>
            <c:ext xmlns:c16="http://schemas.microsoft.com/office/drawing/2014/chart" uri="{C3380CC4-5D6E-409C-BE32-E72D297353CC}">
              <c16:uniqueId val="{00000004-77B5-40A5-9F53-A82F9C28A73A}"/>
            </c:ext>
          </c:extLst>
        </c:ser>
        <c:ser>
          <c:idx val="7"/>
          <c:order val="9"/>
          <c:tx>
            <c:strRef>
              <c:f>Seccion2!$T$29</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Seccion2!$AM$107</c:f>
              <c:numCache>
                <c:formatCode>General</c:formatCode>
                <c:ptCount val="1"/>
                <c:pt idx="0">
                  <c:v>#N/A</c:v>
                </c:pt>
              </c:numCache>
            </c:numRef>
          </c:val>
          <c:extLst>
            <c:ext xmlns:c16="http://schemas.microsoft.com/office/drawing/2014/chart" uri="{C3380CC4-5D6E-409C-BE32-E72D297353CC}">
              <c16:uniqueId val="{00000005-77B5-40A5-9F53-A82F9C28A73A}"/>
            </c:ext>
          </c:extLst>
        </c:ser>
        <c:ser>
          <c:idx val="8"/>
          <c:order val="10"/>
          <c:tx>
            <c:strRef>
              <c:f>Seccion2!$T$30</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Seccion2!$AM$108</c:f>
              <c:numCache>
                <c:formatCode>General</c:formatCode>
                <c:ptCount val="1"/>
                <c:pt idx="0">
                  <c:v>#N/A</c:v>
                </c:pt>
              </c:numCache>
            </c:numRef>
          </c:val>
          <c:extLst>
            <c:ext xmlns:c16="http://schemas.microsoft.com/office/drawing/2014/chart" uri="{C3380CC4-5D6E-409C-BE32-E72D297353CC}">
              <c16:uniqueId val="{00000006-77B5-40A5-9F53-A82F9C28A73A}"/>
            </c:ext>
          </c:extLst>
        </c:ser>
        <c:ser>
          <c:idx val="9"/>
          <c:order val="11"/>
          <c:tx>
            <c:strRef>
              <c:f>Seccion2!$T$31</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Seccion2!$AM$109</c:f>
              <c:numCache>
                <c:formatCode>General</c:formatCode>
                <c:ptCount val="1"/>
                <c:pt idx="0">
                  <c:v>#N/A</c:v>
                </c:pt>
              </c:numCache>
            </c:numRef>
          </c:val>
          <c:extLst>
            <c:ext xmlns:c16="http://schemas.microsoft.com/office/drawing/2014/chart" uri="{C3380CC4-5D6E-409C-BE32-E72D297353CC}">
              <c16:uniqueId val="{00000007-77B5-40A5-9F53-A82F9C28A73A}"/>
            </c:ext>
          </c:extLst>
        </c:ser>
        <c:ser>
          <c:idx val="10"/>
          <c:order val="12"/>
          <c:tx>
            <c:strRef>
              <c:f>Seccion2!$T$32</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Seccion2!$AM$110</c:f>
              <c:numCache>
                <c:formatCode>General</c:formatCode>
                <c:ptCount val="1"/>
                <c:pt idx="0">
                  <c:v>#N/A</c:v>
                </c:pt>
              </c:numCache>
            </c:numRef>
          </c:val>
          <c:extLst>
            <c:ext xmlns:c16="http://schemas.microsoft.com/office/drawing/2014/chart" uri="{C3380CC4-5D6E-409C-BE32-E72D297353CC}">
              <c16:uniqueId val="{00000008-77B5-40A5-9F53-A82F9C28A73A}"/>
            </c:ext>
          </c:extLst>
        </c:ser>
        <c:ser>
          <c:idx val="11"/>
          <c:order val="13"/>
          <c:tx>
            <c:strRef>
              <c:f>Seccion2!$T$33</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Seccion2!$AM$111</c:f>
              <c:numCache>
                <c:formatCode>General</c:formatCode>
                <c:ptCount val="1"/>
                <c:pt idx="0">
                  <c:v>#N/A</c:v>
                </c:pt>
              </c:numCache>
            </c:numRef>
          </c:val>
          <c:extLst>
            <c:ext xmlns:c16="http://schemas.microsoft.com/office/drawing/2014/chart" uri="{C3380CC4-5D6E-409C-BE32-E72D297353CC}">
              <c16:uniqueId val="{00000009-77B5-40A5-9F53-A82F9C28A73A}"/>
            </c:ext>
          </c:extLst>
        </c:ser>
        <c:ser>
          <c:idx val="12"/>
          <c:order val="14"/>
          <c:tx>
            <c:strRef>
              <c:f>Seccion2!$T$34</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Seccion2!$AM$112</c:f>
              <c:numCache>
                <c:formatCode>General</c:formatCode>
                <c:ptCount val="1"/>
                <c:pt idx="0">
                  <c:v>#N/A</c:v>
                </c:pt>
              </c:numCache>
            </c:numRef>
          </c:val>
          <c:extLst>
            <c:ext xmlns:c16="http://schemas.microsoft.com/office/drawing/2014/chart" uri="{C3380CC4-5D6E-409C-BE32-E72D297353CC}">
              <c16:uniqueId val="{0000000A-77B5-40A5-9F53-A82F9C28A73A}"/>
            </c:ext>
          </c:extLst>
        </c:ser>
        <c:ser>
          <c:idx val="13"/>
          <c:order val="15"/>
          <c:tx>
            <c:strRef>
              <c:f>Seccion2!$T$35</c:f>
              <c:strCache>
                <c:ptCount val="1"/>
              </c:strCache>
            </c:strRef>
          </c:tx>
          <c:spPr>
            <a:solidFill>
              <a:schemeClr val="bg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Seccion2!$AM$113</c:f>
              <c:numCache>
                <c:formatCode>General</c:formatCode>
                <c:ptCount val="1"/>
                <c:pt idx="0">
                  <c:v>#N/A</c:v>
                </c:pt>
              </c:numCache>
            </c:numRef>
          </c:val>
          <c:extLst>
            <c:ext xmlns:c16="http://schemas.microsoft.com/office/drawing/2014/chart" uri="{C3380CC4-5D6E-409C-BE32-E72D297353CC}">
              <c16:uniqueId val="{0000000B-77B5-40A5-9F53-A82F9C28A73A}"/>
            </c:ext>
          </c:extLst>
        </c:ser>
        <c:dLbls>
          <c:showLegendKey val="0"/>
          <c:showVal val="1"/>
          <c:showCatName val="0"/>
          <c:showSerName val="0"/>
          <c:showPercent val="0"/>
          <c:showBubbleSize val="0"/>
        </c:dLbls>
        <c:gapWidth val="0"/>
        <c:overlap val="100"/>
        <c:axId val="650268800"/>
        <c:axId val="650269456"/>
      </c:barChart>
      <c:scatterChart>
        <c:scatterStyle val="lineMarker"/>
        <c:varyColors val="0"/>
        <c:ser>
          <c:idx val="0"/>
          <c:order val="0"/>
          <c:tx>
            <c:v>Psat</c:v>
          </c:tx>
          <c:spPr>
            <a:ln w="22225" cap="rnd">
              <a:solidFill>
                <a:schemeClr val="tx1"/>
              </a:solidFill>
              <a:round/>
            </a:ln>
            <a:effectLst/>
          </c:spPr>
          <c:marker>
            <c:symbol val="none"/>
          </c:marker>
          <c:dLbls>
            <c:numFmt formatCode="#,##0" sourceLinked="0"/>
            <c:spPr>
              <a:solidFill>
                <a:srgbClr val="F79646">
                  <a:lumMod val="20000"/>
                  <a:lumOff val="80000"/>
                  <a:alpha val="4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Seccion2!$AN$101:$AN$113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Seccion2!$AP$101:$AP$113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C-77B5-40A5-9F53-A82F9C28A73A}"/>
            </c:ext>
          </c:extLst>
        </c:ser>
        <c:ser>
          <c:idx val="1"/>
          <c:order val="1"/>
          <c:tx>
            <c:strRef>
              <c:f>Seccion2!$AR$99</c:f>
              <c:strCache>
                <c:ptCount val="1"/>
                <c:pt idx="0">
                  <c:v>P HR_1</c:v>
                </c:pt>
              </c:strCache>
            </c:strRef>
          </c:tx>
          <c:spPr>
            <a:ln w="22225" cap="rnd">
              <a:solidFill>
                <a:schemeClr val="accent1"/>
              </a:solidFill>
              <a:prstDash val="sysDot"/>
              <a:round/>
            </a:ln>
            <a:effectLst/>
          </c:spPr>
          <c:marker>
            <c:symbol val="none"/>
          </c:marker>
          <c:dLbls>
            <c:delete val="1"/>
          </c:dLbls>
          <c:xVal>
            <c:numRef>
              <c:f>Seccion2!$AN$101:$AN$113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Seccion2!$AR$101:$AR$113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D-77B5-40A5-9F53-A82F9C28A73A}"/>
            </c:ext>
          </c:extLst>
        </c:ser>
        <c:ser>
          <c:idx val="14"/>
          <c:order val="2"/>
          <c:tx>
            <c:strRef>
              <c:f>Seccion2!$AU$99</c:f>
              <c:strCache>
                <c:ptCount val="1"/>
                <c:pt idx="0">
                  <c:v>P HR_2</c:v>
                </c:pt>
              </c:strCache>
            </c:strRef>
          </c:tx>
          <c:spPr>
            <a:ln w="22225" cap="rnd">
              <a:solidFill>
                <a:schemeClr val="accent2"/>
              </a:solidFill>
              <a:prstDash val="dash"/>
              <a:round/>
            </a:ln>
            <a:effectLst/>
          </c:spPr>
          <c:marker>
            <c:symbol val="none"/>
          </c:marker>
          <c:dLbls>
            <c:delete val="1"/>
          </c:dLbls>
          <c:xVal>
            <c:numRef>
              <c:f>Seccion2!$AN$101:$AN$113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Seccion2!$AU$101:$AU$113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E-77B5-40A5-9F53-A82F9C28A73A}"/>
            </c:ext>
          </c:extLst>
        </c:ser>
        <c:ser>
          <c:idx val="15"/>
          <c:order val="3"/>
          <c:tx>
            <c:strRef>
              <c:f>Seccion2!$AX$99</c:f>
              <c:strCache>
                <c:ptCount val="1"/>
                <c:pt idx="0">
                  <c:v>P HR_3</c:v>
                </c:pt>
              </c:strCache>
            </c:strRef>
          </c:tx>
          <c:spPr>
            <a:ln w="22225" cap="rnd">
              <a:solidFill>
                <a:schemeClr val="accent3"/>
              </a:solidFill>
              <a:prstDash val="dashDot"/>
              <a:round/>
            </a:ln>
            <a:effectLst/>
          </c:spPr>
          <c:marker>
            <c:symbol val="none"/>
          </c:marker>
          <c:dLbls>
            <c:delete val="1"/>
          </c:dLbls>
          <c:xVal>
            <c:numRef>
              <c:f>Seccion2!$AN$101:$AN$113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Seccion2!$AX$101:$AX$113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F-77B5-40A5-9F53-A82F9C28A73A}"/>
            </c:ext>
          </c:extLst>
        </c:ser>
        <c:dLbls>
          <c:showLegendKey val="0"/>
          <c:showVal val="1"/>
          <c:showCatName val="0"/>
          <c:showSerName val="0"/>
          <c:showPercent val="0"/>
          <c:showBubbleSize val="0"/>
        </c:dLbls>
        <c:axId val="1047157256"/>
        <c:axId val="1047157584"/>
      </c:scatterChart>
      <c:valAx>
        <c:axId val="10471572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s-CL" sz="1100" b="0" i="0" baseline="0">
                    <a:effectLst/>
                  </a:rPr>
                  <a:t>Espesor de capa de aire equivalente, S</a:t>
                </a:r>
                <a:r>
                  <a:rPr lang="es-CL" sz="1100" b="0" i="0" baseline="-25000">
                    <a:effectLst/>
                  </a:rPr>
                  <a:t>d</a:t>
                </a:r>
                <a:endParaRPr lang="es-CL" sz="1100">
                  <a:effectLst/>
                </a:endParaRP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crossAx val="1047157584"/>
        <c:crosses val="autoZero"/>
        <c:crossBetween val="midCat"/>
        <c:majorUnit val="0.1"/>
      </c:valAx>
      <c:valAx>
        <c:axId val="1047157584"/>
        <c:scaling>
          <c:orientation val="minMax"/>
          <c:min val="500"/>
        </c:scaling>
        <c:delete val="1"/>
        <c:axPos val="l"/>
        <c:numFmt formatCode="0.0" sourceLinked="1"/>
        <c:majorTickMark val="out"/>
        <c:minorTickMark val="none"/>
        <c:tickLblPos val="nextTo"/>
        <c:crossAx val="1047157256"/>
        <c:crosses val="autoZero"/>
        <c:crossBetween val="midCat"/>
      </c:valAx>
      <c:valAx>
        <c:axId val="650269456"/>
        <c:scaling>
          <c:orientation val="minMax"/>
        </c:scaling>
        <c:delete val="1"/>
        <c:axPos val="t"/>
        <c:numFmt formatCode="General" sourceLinked="1"/>
        <c:majorTickMark val="out"/>
        <c:minorTickMark val="none"/>
        <c:tickLblPos val="nextTo"/>
        <c:crossAx val="650268800"/>
        <c:crosses val="max"/>
        <c:crossBetween val="between"/>
      </c:valAx>
      <c:catAx>
        <c:axId val="650268800"/>
        <c:scaling>
          <c:orientation val="minMax"/>
        </c:scaling>
        <c:delete val="1"/>
        <c:axPos val="r"/>
        <c:majorTickMark val="out"/>
        <c:minorTickMark val="none"/>
        <c:tickLblPos val="nextTo"/>
        <c:crossAx val="650269456"/>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L"/>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Perfiles de temperatura </a:t>
            </a:r>
          </a:p>
        </c:rich>
      </c:tx>
      <c:layout>
        <c:manualLayout>
          <c:xMode val="edge"/>
          <c:yMode val="edge"/>
          <c:x val="0.28691045531308113"/>
          <c:y val="5.512152777777778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5.2501653439153431E-2"/>
          <c:y val="0.12606052831670622"/>
          <c:w val="0.9450115740740741"/>
          <c:h val="0.77038160028608016"/>
        </c:manualLayout>
      </c:layout>
      <c:barChart>
        <c:barDir val="bar"/>
        <c:grouping val="stacked"/>
        <c:varyColors val="0"/>
        <c:ser>
          <c:idx val="2"/>
          <c:order val="1"/>
          <c:tx>
            <c:strRef>
              <c:f>Seccion2!$T$24</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Seccion2!$AK$102</c:f>
              <c:numCache>
                <c:formatCode>General</c:formatCode>
                <c:ptCount val="1"/>
                <c:pt idx="0">
                  <c:v>#N/A</c:v>
                </c:pt>
              </c:numCache>
            </c:numRef>
          </c:val>
          <c:extLst>
            <c:ext xmlns:c16="http://schemas.microsoft.com/office/drawing/2014/chart" uri="{C3380CC4-5D6E-409C-BE32-E72D297353CC}">
              <c16:uniqueId val="{00000000-2E6D-4035-9AC6-E4CF06A0D775}"/>
            </c:ext>
          </c:extLst>
        </c:ser>
        <c:ser>
          <c:idx val="3"/>
          <c:order val="2"/>
          <c:tx>
            <c:strRef>
              <c:f>Seccion2!$T$25</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Seccion2!$AK$103</c:f>
              <c:numCache>
                <c:formatCode>General</c:formatCode>
                <c:ptCount val="1"/>
                <c:pt idx="0">
                  <c:v>#N/A</c:v>
                </c:pt>
              </c:numCache>
            </c:numRef>
          </c:val>
          <c:extLst>
            <c:ext xmlns:c16="http://schemas.microsoft.com/office/drawing/2014/chart" uri="{C3380CC4-5D6E-409C-BE32-E72D297353CC}">
              <c16:uniqueId val="{00000001-2E6D-4035-9AC6-E4CF06A0D775}"/>
            </c:ext>
          </c:extLst>
        </c:ser>
        <c:ser>
          <c:idx val="4"/>
          <c:order val="3"/>
          <c:tx>
            <c:strRef>
              <c:f>Seccion2!$T$26</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Seccion2!$AK$104</c:f>
              <c:numCache>
                <c:formatCode>General</c:formatCode>
                <c:ptCount val="1"/>
                <c:pt idx="0">
                  <c:v>#N/A</c:v>
                </c:pt>
              </c:numCache>
            </c:numRef>
          </c:val>
          <c:extLst>
            <c:ext xmlns:c16="http://schemas.microsoft.com/office/drawing/2014/chart" uri="{C3380CC4-5D6E-409C-BE32-E72D297353CC}">
              <c16:uniqueId val="{00000002-2E6D-4035-9AC6-E4CF06A0D775}"/>
            </c:ext>
          </c:extLst>
        </c:ser>
        <c:ser>
          <c:idx val="5"/>
          <c:order val="4"/>
          <c:tx>
            <c:strRef>
              <c:f>Seccion2!$T$27</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Seccion2!$AK$105</c:f>
              <c:numCache>
                <c:formatCode>General</c:formatCode>
                <c:ptCount val="1"/>
                <c:pt idx="0">
                  <c:v>#N/A</c:v>
                </c:pt>
              </c:numCache>
            </c:numRef>
          </c:val>
          <c:extLst>
            <c:ext xmlns:c16="http://schemas.microsoft.com/office/drawing/2014/chart" uri="{C3380CC4-5D6E-409C-BE32-E72D297353CC}">
              <c16:uniqueId val="{00000003-2E6D-4035-9AC6-E4CF06A0D775}"/>
            </c:ext>
          </c:extLst>
        </c:ser>
        <c:ser>
          <c:idx val="6"/>
          <c:order val="5"/>
          <c:tx>
            <c:strRef>
              <c:f>Seccion2!$T$28</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Seccion2!$AK$106</c:f>
              <c:numCache>
                <c:formatCode>General</c:formatCode>
                <c:ptCount val="1"/>
                <c:pt idx="0">
                  <c:v>#N/A</c:v>
                </c:pt>
              </c:numCache>
            </c:numRef>
          </c:val>
          <c:extLst>
            <c:ext xmlns:c16="http://schemas.microsoft.com/office/drawing/2014/chart" uri="{C3380CC4-5D6E-409C-BE32-E72D297353CC}">
              <c16:uniqueId val="{00000004-2E6D-4035-9AC6-E4CF06A0D775}"/>
            </c:ext>
          </c:extLst>
        </c:ser>
        <c:ser>
          <c:idx val="7"/>
          <c:order val="6"/>
          <c:tx>
            <c:strRef>
              <c:f>Seccion2!$T$29</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Seccion2!$AK$107</c:f>
              <c:numCache>
                <c:formatCode>General</c:formatCode>
                <c:ptCount val="1"/>
                <c:pt idx="0">
                  <c:v>#N/A</c:v>
                </c:pt>
              </c:numCache>
            </c:numRef>
          </c:val>
          <c:extLst>
            <c:ext xmlns:c16="http://schemas.microsoft.com/office/drawing/2014/chart" uri="{C3380CC4-5D6E-409C-BE32-E72D297353CC}">
              <c16:uniqueId val="{00000005-2E6D-4035-9AC6-E4CF06A0D775}"/>
            </c:ext>
          </c:extLst>
        </c:ser>
        <c:ser>
          <c:idx val="8"/>
          <c:order val="7"/>
          <c:tx>
            <c:strRef>
              <c:f>Seccion2!$T$30</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Seccion2!$AK$108</c:f>
              <c:numCache>
                <c:formatCode>General</c:formatCode>
                <c:ptCount val="1"/>
                <c:pt idx="0">
                  <c:v>#N/A</c:v>
                </c:pt>
              </c:numCache>
            </c:numRef>
          </c:val>
          <c:extLst>
            <c:ext xmlns:c16="http://schemas.microsoft.com/office/drawing/2014/chart" uri="{C3380CC4-5D6E-409C-BE32-E72D297353CC}">
              <c16:uniqueId val="{00000006-2E6D-4035-9AC6-E4CF06A0D775}"/>
            </c:ext>
          </c:extLst>
        </c:ser>
        <c:ser>
          <c:idx val="9"/>
          <c:order val="8"/>
          <c:tx>
            <c:strRef>
              <c:f>Seccion2!$T$31</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Seccion2!$AK$109</c:f>
              <c:numCache>
                <c:formatCode>General</c:formatCode>
                <c:ptCount val="1"/>
                <c:pt idx="0">
                  <c:v>#N/A</c:v>
                </c:pt>
              </c:numCache>
            </c:numRef>
          </c:val>
          <c:extLst>
            <c:ext xmlns:c16="http://schemas.microsoft.com/office/drawing/2014/chart" uri="{C3380CC4-5D6E-409C-BE32-E72D297353CC}">
              <c16:uniqueId val="{00000007-2E6D-4035-9AC6-E4CF06A0D775}"/>
            </c:ext>
          </c:extLst>
        </c:ser>
        <c:ser>
          <c:idx val="10"/>
          <c:order val="9"/>
          <c:tx>
            <c:strRef>
              <c:f>Seccion2!$T$32</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Seccion2!$AK$110</c:f>
              <c:numCache>
                <c:formatCode>General</c:formatCode>
                <c:ptCount val="1"/>
                <c:pt idx="0">
                  <c:v>#N/A</c:v>
                </c:pt>
              </c:numCache>
            </c:numRef>
          </c:val>
          <c:extLst>
            <c:ext xmlns:c16="http://schemas.microsoft.com/office/drawing/2014/chart" uri="{C3380CC4-5D6E-409C-BE32-E72D297353CC}">
              <c16:uniqueId val="{00000008-2E6D-4035-9AC6-E4CF06A0D775}"/>
            </c:ext>
          </c:extLst>
        </c:ser>
        <c:ser>
          <c:idx val="11"/>
          <c:order val="10"/>
          <c:tx>
            <c:strRef>
              <c:f>Seccion2!$T$33</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Seccion2!$AK$111</c:f>
              <c:numCache>
                <c:formatCode>General</c:formatCode>
                <c:ptCount val="1"/>
                <c:pt idx="0">
                  <c:v>#N/A</c:v>
                </c:pt>
              </c:numCache>
            </c:numRef>
          </c:val>
          <c:extLst>
            <c:ext xmlns:c16="http://schemas.microsoft.com/office/drawing/2014/chart" uri="{C3380CC4-5D6E-409C-BE32-E72D297353CC}">
              <c16:uniqueId val="{00000009-2E6D-4035-9AC6-E4CF06A0D775}"/>
            </c:ext>
          </c:extLst>
        </c:ser>
        <c:ser>
          <c:idx val="12"/>
          <c:order val="11"/>
          <c:tx>
            <c:strRef>
              <c:f>Seccion2!$T$34</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Seccion2!$AK$112</c:f>
              <c:numCache>
                <c:formatCode>General</c:formatCode>
                <c:ptCount val="1"/>
                <c:pt idx="0">
                  <c:v>#N/A</c:v>
                </c:pt>
              </c:numCache>
            </c:numRef>
          </c:val>
          <c:extLst>
            <c:ext xmlns:c16="http://schemas.microsoft.com/office/drawing/2014/chart" uri="{C3380CC4-5D6E-409C-BE32-E72D297353CC}">
              <c16:uniqueId val="{0000000A-2E6D-4035-9AC6-E4CF06A0D775}"/>
            </c:ext>
          </c:extLst>
        </c:ser>
        <c:ser>
          <c:idx val="13"/>
          <c:order val="12"/>
          <c:tx>
            <c:strRef>
              <c:f>Seccion2!$T$35</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Seccion2!$AK$113</c:f>
              <c:numCache>
                <c:formatCode>General</c:formatCode>
                <c:ptCount val="1"/>
                <c:pt idx="0">
                  <c:v>#N/A</c:v>
                </c:pt>
              </c:numCache>
            </c:numRef>
          </c:val>
          <c:extLst>
            <c:ext xmlns:c16="http://schemas.microsoft.com/office/drawing/2014/chart" uri="{C3380CC4-5D6E-409C-BE32-E72D297353CC}">
              <c16:uniqueId val="{0000000B-2E6D-4035-9AC6-E4CF06A0D775}"/>
            </c:ext>
          </c:extLst>
        </c:ser>
        <c:dLbls>
          <c:showLegendKey val="0"/>
          <c:showVal val="1"/>
          <c:showCatName val="0"/>
          <c:showSerName val="0"/>
          <c:showPercent val="0"/>
          <c:showBubbleSize val="0"/>
        </c:dLbls>
        <c:gapWidth val="0"/>
        <c:overlap val="100"/>
        <c:axId val="650268800"/>
        <c:axId val="650269456"/>
      </c:barChart>
      <c:scatterChart>
        <c:scatterStyle val="lineMarker"/>
        <c:varyColors val="0"/>
        <c:ser>
          <c:idx val="0"/>
          <c:order val="0"/>
          <c:tx>
            <c:strRef>
              <c:f>Seccion2!$AO$99</c:f>
              <c:strCache>
                <c:ptCount val="1"/>
                <c:pt idx="0">
                  <c:v>ϴ'n</c:v>
                </c:pt>
              </c:strCache>
            </c:strRef>
          </c:tx>
          <c:spPr>
            <a:ln w="22225" cap="rnd">
              <a:solidFill>
                <a:sysClr val="windowText" lastClr="000000"/>
              </a:solidFill>
              <a:round/>
            </a:ln>
            <a:effectLst/>
          </c:spPr>
          <c:marker>
            <c:symbol val="circle"/>
            <c:size val="5"/>
            <c:spPr>
              <a:noFill/>
              <a:ln w="9525">
                <a:noFill/>
              </a:ln>
              <a:effectLst/>
            </c:spPr>
          </c:marker>
          <c:dLbls>
            <c:numFmt formatCode="#,##0.0" sourceLinked="0"/>
            <c:spPr>
              <a:solidFill>
                <a:srgbClr val="F79646">
                  <a:lumMod val="20000"/>
                  <a:lumOff val="80000"/>
                  <a:alpha val="4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Seccion2!$AL$101:$AL$113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Seccion2!$AO$101:$AO$113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C-2E6D-4035-9AC6-E4CF06A0D775}"/>
            </c:ext>
          </c:extLst>
        </c:ser>
        <c:ser>
          <c:idx val="1"/>
          <c:order val="13"/>
          <c:tx>
            <c:strRef>
              <c:f>Seccion2!$AQ$99</c:f>
              <c:strCache>
                <c:ptCount val="1"/>
                <c:pt idx="0">
                  <c:v>ϴ'n_pr_1</c:v>
                </c:pt>
              </c:strCache>
            </c:strRef>
          </c:tx>
          <c:spPr>
            <a:ln w="22225" cap="rnd">
              <a:solidFill>
                <a:schemeClr val="accent1"/>
              </a:solidFill>
              <a:prstDash val="sysDot"/>
              <a:round/>
            </a:ln>
            <a:effectLst/>
          </c:spPr>
          <c:marker>
            <c:symbol val="none"/>
          </c:marker>
          <c:dLbls>
            <c:delete val="1"/>
          </c:dLbls>
          <c:xVal>
            <c:numRef>
              <c:f>Seccion2!$AL$101:$AL$113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Seccion2!$AQ$101:$AQ$113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D-2E6D-4035-9AC6-E4CF06A0D775}"/>
            </c:ext>
          </c:extLst>
        </c:ser>
        <c:ser>
          <c:idx val="14"/>
          <c:order val="14"/>
          <c:tx>
            <c:strRef>
              <c:f>Seccion2!$AT$99</c:f>
              <c:strCache>
                <c:ptCount val="1"/>
                <c:pt idx="0">
                  <c:v>ϴ'n_pr_2</c:v>
                </c:pt>
              </c:strCache>
            </c:strRef>
          </c:tx>
          <c:spPr>
            <a:ln w="22225" cap="rnd">
              <a:solidFill>
                <a:schemeClr val="accent2"/>
              </a:solidFill>
              <a:prstDash val="dash"/>
              <a:round/>
            </a:ln>
            <a:effectLst/>
          </c:spPr>
          <c:marker>
            <c:symbol val="circle"/>
            <c:size val="5"/>
            <c:spPr>
              <a:noFill/>
              <a:ln w="9525">
                <a:noFill/>
              </a:ln>
              <a:effectLst/>
            </c:spPr>
          </c:marker>
          <c:dLbls>
            <c:delete val="1"/>
          </c:dLbls>
          <c:xVal>
            <c:numRef>
              <c:f>Seccion2!$AL$101:$AL$113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Seccion2!$AT$101:$AT$113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E-2E6D-4035-9AC6-E4CF06A0D775}"/>
            </c:ext>
          </c:extLst>
        </c:ser>
        <c:ser>
          <c:idx val="15"/>
          <c:order val="15"/>
          <c:tx>
            <c:strRef>
              <c:f>Seccion2!$AW$99</c:f>
              <c:strCache>
                <c:ptCount val="1"/>
                <c:pt idx="0">
                  <c:v>ϴ'n_pr_3</c:v>
                </c:pt>
              </c:strCache>
            </c:strRef>
          </c:tx>
          <c:spPr>
            <a:ln w="22225" cap="rnd">
              <a:solidFill>
                <a:schemeClr val="accent3"/>
              </a:solidFill>
              <a:prstDash val="dashDot"/>
              <a:round/>
            </a:ln>
            <a:effectLst/>
          </c:spPr>
          <c:marker>
            <c:symbol val="circle"/>
            <c:size val="5"/>
            <c:spPr>
              <a:noFill/>
              <a:ln w="9525">
                <a:noFill/>
              </a:ln>
              <a:effectLst/>
            </c:spPr>
          </c:marker>
          <c:dLbls>
            <c:delete val="1"/>
          </c:dLbls>
          <c:xVal>
            <c:numRef>
              <c:f>Seccion2!$AL$101:$AL$113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Seccion2!$AW$101:$AW$113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F-2E6D-4035-9AC6-E4CF06A0D775}"/>
            </c:ext>
          </c:extLst>
        </c:ser>
        <c:dLbls>
          <c:showLegendKey val="0"/>
          <c:showVal val="1"/>
          <c:showCatName val="0"/>
          <c:showSerName val="0"/>
          <c:showPercent val="0"/>
          <c:showBubbleSize val="0"/>
        </c:dLbls>
        <c:axId val="1047157256"/>
        <c:axId val="1047157584"/>
      </c:scatterChart>
      <c:valAx>
        <c:axId val="10471572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Espesor, 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crossAx val="1047157584"/>
        <c:crosses val="autoZero"/>
        <c:crossBetween val="midCat"/>
        <c:majorUnit val="1.0000000000000003E-4"/>
        <c:minorUnit val="2.0000000000000008E-5"/>
      </c:valAx>
      <c:valAx>
        <c:axId val="1047157584"/>
        <c:scaling>
          <c:orientation val="minMax"/>
        </c:scaling>
        <c:delete val="1"/>
        <c:axPos val="l"/>
        <c:numFmt formatCode="0.0" sourceLinked="1"/>
        <c:majorTickMark val="out"/>
        <c:minorTickMark val="none"/>
        <c:tickLblPos val="nextTo"/>
        <c:crossAx val="1047157256"/>
        <c:crosses val="autoZero"/>
        <c:crossBetween val="midCat"/>
      </c:valAx>
      <c:valAx>
        <c:axId val="650269456"/>
        <c:scaling>
          <c:orientation val="minMax"/>
        </c:scaling>
        <c:delete val="1"/>
        <c:axPos val="t"/>
        <c:numFmt formatCode="General" sourceLinked="1"/>
        <c:majorTickMark val="out"/>
        <c:minorTickMark val="none"/>
        <c:tickLblPos val="nextTo"/>
        <c:crossAx val="650268800"/>
        <c:crosses val="max"/>
        <c:crossBetween val="between"/>
      </c:valAx>
      <c:catAx>
        <c:axId val="650268800"/>
        <c:scaling>
          <c:orientation val="minMax"/>
        </c:scaling>
        <c:delete val="1"/>
        <c:axPos val="r"/>
        <c:majorTickMark val="out"/>
        <c:minorTickMark val="none"/>
        <c:tickLblPos val="nextTo"/>
        <c:crossAx val="650269456"/>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L"/>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Perfiles de temperatura</a:t>
            </a:r>
          </a:p>
        </c:rich>
      </c:tx>
      <c:layout>
        <c:manualLayout>
          <c:xMode val="edge"/>
          <c:yMode val="edge"/>
          <c:x val="0.3361352282515073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5.2501653439153431E-2"/>
          <c:y val="0.15765603495716435"/>
          <c:w val="0.9450115740740741"/>
          <c:h val="0.73878605256113372"/>
        </c:manualLayout>
      </c:layout>
      <c:barChart>
        <c:barDir val="bar"/>
        <c:grouping val="stacked"/>
        <c:varyColors val="0"/>
        <c:ser>
          <c:idx val="2"/>
          <c:order val="1"/>
          <c:tx>
            <c:strRef>
              <c:f>Seccion2!$S$24</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Seccion2!$Q$102</c:f>
              <c:numCache>
                <c:formatCode>General</c:formatCode>
                <c:ptCount val="1"/>
                <c:pt idx="0">
                  <c:v>#N/A</c:v>
                </c:pt>
              </c:numCache>
            </c:numRef>
          </c:val>
          <c:extLst>
            <c:ext xmlns:c16="http://schemas.microsoft.com/office/drawing/2014/chart" uri="{C3380CC4-5D6E-409C-BE32-E72D297353CC}">
              <c16:uniqueId val="{00000000-5885-461A-83E3-B192429F470D}"/>
            </c:ext>
          </c:extLst>
        </c:ser>
        <c:ser>
          <c:idx val="3"/>
          <c:order val="2"/>
          <c:tx>
            <c:strRef>
              <c:f>Seccion2!$S$25</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Seccion2!$Q$103</c:f>
              <c:numCache>
                <c:formatCode>General</c:formatCode>
                <c:ptCount val="1"/>
                <c:pt idx="0">
                  <c:v>#N/A</c:v>
                </c:pt>
              </c:numCache>
            </c:numRef>
          </c:val>
          <c:extLst>
            <c:ext xmlns:c16="http://schemas.microsoft.com/office/drawing/2014/chart" uri="{C3380CC4-5D6E-409C-BE32-E72D297353CC}">
              <c16:uniqueId val="{00000001-5885-461A-83E3-B192429F470D}"/>
            </c:ext>
          </c:extLst>
        </c:ser>
        <c:ser>
          <c:idx val="4"/>
          <c:order val="3"/>
          <c:tx>
            <c:strRef>
              <c:f>Seccion2!$S$26</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Seccion2!$Q$104</c:f>
              <c:numCache>
                <c:formatCode>General</c:formatCode>
                <c:ptCount val="1"/>
                <c:pt idx="0">
                  <c:v>#N/A</c:v>
                </c:pt>
              </c:numCache>
            </c:numRef>
          </c:val>
          <c:extLst>
            <c:ext xmlns:c16="http://schemas.microsoft.com/office/drawing/2014/chart" uri="{C3380CC4-5D6E-409C-BE32-E72D297353CC}">
              <c16:uniqueId val="{00000002-5885-461A-83E3-B192429F470D}"/>
            </c:ext>
          </c:extLst>
        </c:ser>
        <c:ser>
          <c:idx val="5"/>
          <c:order val="4"/>
          <c:tx>
            <c:strRef>
              <c:f>Seccion2!$S$27</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Seccion2!$Q$105</c:f>
              <c:numCache>
                <c:formatCode>General</c:formatCode>
                <c:ptCount val="1"/>
                <c:pt idx="0">
                  <c:v>#N/A</c:v>
                </c:pt>
              </c:numCache>
            </c:numRef>
          </c:val>
          <c:extLst>
            <c:ext xmlns:c16="http://schemas.microsoft.com/office/drawing/2014/chart" uri="{C3380CC4-5D6E-409C-BE32-E72D297353CC}">
              <c16:uniqueId val="{00000003-5885-461A-83E3-B192429F470D}"/>
            </c:ext>
          </c:extLst>
        </c:ser>
        <c:ser>
          <c:idx val="6"/>
          <c:order val="5"/>
          <c:tx>
            <c:strRef>
              <c:f>Seccion2!$S$28</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Seccion2!$Q$106</c:f>
              <c:numCache>
                <c:formatCode>General</c:formatCode>
                <c:ptCount val="1"/>
                <c:pt idx="0">
                  <c:v>#N/A</c:v>
                </c:pt>
              </c:numCache>
            </c:numRef>
          </c:val>
          <c:extLst>
            <c:ext xmlns:c16="http://schemas.microsoft.com/office/drawing/2014/chart" uri="{C3380CC4-5D6E-409C-BE32-E72D297353CC}">
              <c16:uniqueId val="{00000004-5885-461A-83E3-B192429F470D}"/>
            </c:ext>
          </c:extLst>
        </c:ser>
        <c:ser>
          <c:idx val="7"/>
          <c:order val="6"/>
          <c:tx>
            <c:strRef>
              <c:f>Seccion2!$S$29</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Seccion2!$Q$107</c:f>
              <c:numCache>
                <c:formatCode>General</c:formatCode>
                <c:ptCount val="1"/>
                <c:pt idx="0">
                  <c:v>#N/A</c:v>
                </c:pt>
              </c:numCache>
            </c:numRef>
          </c:val>
          <c:extLst>
            <c:ext xmlns:c16="http://schemas.microsoft.com/office/drawing/2014/chart" uri="{C3380CC4-5D6E-409C-BE32-E72D297353CC}">
              <c16:uniqueId val="{00000005-5885-461A-83E3-B192429F470D}"/>
            </c:ext>
          </c:extLst>
        </c:ser>
        <c:ser>
          <c:idx val="8"/>
          <c:order val="7"/>
          <c:tx>
            <c:strRef>
              <c:f>Seccion2!$S$30</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Seccion2!$Q$108</c:f>
              <c:numCache>
                <c:formatCode>General</c:formatCode>
                <c:ptCount val="1"/>
                <c:pt idx="0">
                  <c:v>#N/A</c:v>
                </c:pt>
              </c:numCache>
            </c:numRef>
          </c:val>
          <c:extLst>
            <c:ext xmlns:c16="http://schemas.microsoft.com/office/drawing/2014/chart" uri="{C3380CC4-5D6E-409C-BE32-E72D297353CC}">
              <c16:uniqueId val="{00000006-5885-461A-83E3-B192429F470D}"/>
            </c:ext>
          </c:extLst>
        </c:ser>
        <c:ser>
          <c:idx val="9"/>
          <c:order val="8"/>
          <c:tx>
            <c:strRef>
              <c:f>Seccion2!$S$31</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Seccion2!$Q$109</c:f>
              <c:numCache>
                <c:formatCode>General</c:formatCode>
                <c:ptCount val="1"/>
                <c:pt idx="0">
                  <c:v>#N/A</c:v>
                </c:pt>
              </c:numCache>
            </c:numRef>
          </c:val>
          <c:extLst>
            <c:ext xmlns:c16="http://schemas.microsoft.com/office/drawing/2014/chart" uri="{C3380CC4-5D6E-409C-BE32-E72D297353CC}">
              <c16:uniqueId val="{00000007-5885-461A-83E3-B192429F470D}"/>
            </c:ext>
          </c:extLst>
        </c:ser>
        <c:ser>
          <c:idx val="10"/>
          <c:order val="9"/>
          <c:tx>
            <c:strRef>
              <c:f>Seccion2!$S$32</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Seccion2!$Q$110</c:f>
              <c:numCache>
                <c:formatCode>General</c:formatCode>
                <c:ptCount val="1"/>
                <c:pt idx="0">
                  <c:v>#N/A</c:v>
                </c:pt>
              </c:numCache>
            </c:numRef>
          </c:val>
          <c:extLst>
            <c:ext xmlns:c16="http://schemas.microsoft.com/office/drawing/2014/chart" uri="{C3380CC4-5D6E-409C-BE32-E72D297353CC}">
              <c16:uniqueId val="{00000008-5885-461A-83E3-B192429F470D}"/>
            </c:ext>
          </c:extLst>
        </c:ser>
        <c:ser>
          <c:idx val="11"/>
          <c:order val="10"/>
          <c:tx>
            <c:strRef>
              <c:f>Seccion2!$S$33</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Seccion2!$Q$111</c:f>
              <c:numCache>
                <c:formatCode>General</c:formatCode>
                <c:ptCount val="1"/>
                <c:pt idx="0">
                  <c:v>#N/A</c:v>
                </c:pt>
              </c:numCache>
            </c:numRef>
          </c:val>
          <c:extLst>
            <c:ext xmlns:c16="http://schemas.microsoft.com/office/drawing/2014/chart" uri="{C3380CC4-5D6E-409C-BE32-E72D297353CC}">
              <c16:uniqueId val="{00000009-5885-461A-83E3-B192429F470D}"/>
            </c:ext>
          </c:extLst>
        </c:ser>
        <c:ser>
          <c:idx val="12"/>
          <c:order val="11"/>
          <c:tx>
            <c:strRef>
              <c:f>Seccion2!$S$34</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Seccion2!$Q$112</c:f>
              <c:numCache>
                <c:formatCode>General</c:formatCode>
                <c:ptCount val="1"/>
                <c:pt idx="0">
                  <c:v>#N/A</c:v>
                </c:pt>
              </c:numCache>
            </c:numRef>
          </c:val>
          <c:extLst>
            <c:ext xmlns:c16="http://schemas.microsoft.com/office/drawing/2014/chart" uri="{C3380CC4-5D6E-409C-BE32-E72D297353CC}">
              <c16:uniqueId val="{0000000A-5885-461A-83E3-B192429F470D}"/>
            </c:ext>
          </c:extLst>
        </c:ser>
        <c:ser>
          <c:idx val="13"/>
          <c:order val="12"/>
          <c:tx>
            <c:strRef>
              <c:f>Seccion2!$S$35</c:f>
              <c:strCache>
                <c:ptCount val="1"/>
              </c:strCache>
            </c:strRef>
          </c:tx>
          <c:spPr>
            <a:solidFill>
              <a:sysClr val="window" lastClr="FFFFFF"/>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Seccion2!$Q$113</c:f>
              <c:numCache>
                <c:formatCode>General</c:formatCode>
                <c:ptCount val="1"/>
                <c:pt idx="0">
                  <c:v>#N/A</c:v>
                </c:pt>
              </c:numCache>
            </c:numRef>
          </c:val>
          <c:extLst>
            <c:ext xmlns:c16="http://schemas.microsoft.com/office/drawing/2014/chart" uri="{C3380CC4-5D6E-409C-BE32-E72D297353CC}">
              <c16:uniqueId val="{0000000B-5885-461A-83E3-B192429F470D}"/>
            </c:ext>
          </c:extLst>
        </c:ser>
        <c:dLbls>
          <c:showLegendKey val="0"/>
          <c:showVal val="1"/>
          <c:showCatName val="0"/>
          <c:showSerName val="0"/>
          <c:showPercent val="0"/>
          <c:showBubbleSize val="0"/>
        </c:dLbls>
        <c:gapWidth val="0"/>
        <c:overlap val="100"/>
        <c:axId val="650268800"/>
        <c:axId val="650269456"/>
      </c:barChart>
      <c:scatterChart>
        <c:scatterStyle val="lineMarker"/>
        <c:varyColors val="0"/>
        <c:ser>
          <c:idx val="0"/>
          <c:order val="0"/>
          <c:tx>
            <c:strRef>
              <c:f>Seccion2!$U$99</c:f>
              <c:strCache>
                <c:ptCount val="1"/>
                <c:pt idx="0">
                  <c:v>ϴ'n</c:v>
                </c:pt>
              </c:strCache>
            </c:strRef>
          </c:tx>
          <c:spPr>
            <a:ln w="22225" cap="rnd">
              <a:solidFill>
                <a:sysClr val="windowText" lastClr="000000"/>
              </a:solidFill>
              <a:round/>
            </a:ln>
            <a:effectLst/>
          </c:spPr>
          <c:marker>
            <c:symbol val="circle"/>
            <c:size val="5"/>
            <c:spPr>
              <a:noFill/>
              <a:ln w="9525">
                <a:noFill/>
              </a:ln>
              <a:effectLst/>
            </c:spPr>
          </c:marker>
          <c:dLbls>
            <c:numFmt formatCode="#,##0.0" sourceLinked="0"/>
            <c:spPr>
              <a:solidFill>
                <a:srgbClr val="F79646">
                  <a:lumMod val="20000"/>
                  <a:lumOff val="80000"/>
                  <a:alpha val="4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Seccion2!$R$101:$R$113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Seccion2!$U$101:$U$113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C-5885-461A-83E3-B192429F470D}"/>
            </c:ext>
          </c:extLst>
        </c:ser>
        <c:ser>
          <c:idx val="1"/>
          <c:order val="13"/>
          <c:tx>
            <c:strRef>
              <c:f>Seccion2!$W$99</c:f>
              <c:strCache>
                <c:ptCount val="1"/>
                <c:pt idx="0">
                  <c:v>ϴ'n_pr_1</c:v>
                </c:pt>
              </c:strCache>
            </c:strRef>
          </c:tx>
          <c:spPr>
            <a:ln w="22225" cap="rnd">
              <a:solidFill>
                <a:schemeClr val="accent1"/>
              </a:solidFill>
              <a:prstDash val="sysDot"/>
              <a:round/>
            </a:ln>
            <a:effectLst/>
          </c:spPr>
          <c:marker>
            <c:symbol val="circle"/>
            <c:size val="5"/>
            <c:spPr>
              <a:noFill/>
              <a:ln w="9525">
                <a:solidFill>
                  <a:schemeClr val="accent1"/>
                </a:solidFill>
              </a:ln>
              <a:effectLst/>
            </c:spPr>
          </c:marker>
          <c:dLbls>
            <c:delete val="1"/>
          </c:dLbls>
          <c:xVal>
            <c:numRef>
              <c:f>Seccion2!$R$101:$R$113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Seccion2!$W$101:$W$113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D-5885-461A-83E3-B192429F470D}"/>
            </c:ext>
          </c:extLst>
        </c:ser>
        <c:ser>
          <c:idx val="14"/>
          <c:order val="14"/>
          <c:tx>
            <c:strRef>
              <c:f>Seccion2!$Z$99</c:f>
              <c:strCache>
                <c:ptCount val="1"/>
                <c:pt idx="0">
                  <c:v>ϴ'n_pr_2</c:v>
                </c:pt>
              </c:strCache>
            </c:strRef>
          </c:tx>
          <c:spPr>
            <a:ln w="22225" cap="rnd">
              <a:solidFill>
                <a:schemeClr val="accent2"/>
              </a:solidFill>
              <a:prstDash val="dash"/>
              <a:round/>
            </a:ln>
            <a:effectLst/>
          </c:spPr>
          <c:marker>
            <c:symbol val="circle"/>
            <c:size val="5"/>
            <c:spPr>
              <a:noFill/>
              <a:ln w="9525">
                <a:noFill/>
              </a:ln>
              <a:effectLst/>
            </c:spPr>
          </c:marker>
          <c:dLbls>
            <c:delete val="1"/>
          </c:dLbls>
          <c:xVal>
            <c:numRef>
              <c:f>Seccion2!$R$101:$R$113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Seccion2!$Z$101:$Z$113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E-5885-461A-83E3-B192429F470D}"/>
            </c:ext>
          </c:extLst>
        </c:ser>
        <c:ser>
          <c:idx val="15"/>
          <c:order val="15"/>
          <c:tx>
            <c:strRef>
              <c:f>Seccion2!$AC$99</c:f>
              <c:strCache>
                <c:ptCount val="1"/>
                <c:pt idx="0">
                  <c:v>ϴ'n_pr_3</c:v>
                </c:pt>
              </c:strCache>
            </c:strRef>
          </c:tx>
          <c:spPr>
            <a:ln w="22225" cap="rnd">
              <a:solidFill>
                <a:schemeClr val="accent3"/>
              </a:solidFill>
              <a:prstDash val="dashDot"/>
              <a:round/>
            </a:ln>
            <a:effectLst/>
          </c:spPr>
          <c:marker>
            <c:symbol val="circle"/>
            <c:size val="5"/>
            <c:spPr>
              <a:noFill/>
              <a:ln w="9525">
                <a:noFill/>
              </a:ln>
              <a:effectLst/>
            </c:spPr>
          </c:marker>
          <c:dLbls>
            <c:delete val="1"/>
          </c:dLbls>
          <c:xVal>
            <c:numRef>
              <c:f>Seccion2!$R$101:$R$113</c:f>
              <c:numCache>
                <c:formatCode>General</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xVal>
          <c:yVal>
            <c:numRef>
              <c:f>Seccion2!$AC$101:$AC$113</c:f>
              <c:numCache>
                <c:formatCode>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yVal>
          <c:smooth val="0"/>
          <c:extLst>
            <c:ext xmlns:c16="http://schemas.microsoft.com/office/drawing/2014/chart" uri="{C3380CC4-5D6E-409C-BE32-E72D297353CC}">
              <c16:uniqueId val="{0000000F-5885-461A-83E3-B192429F470D}"/>
            </c:ext>
          </c:extLst>
        </c:ser>
        <c:dLbls>
          <c:showLegendKey val="0"/>
          <c:showVal val="1"/>
          <c:showCatName val="0"/>
          <c:showSerName val="0"/>
          <c:showPercent val="0"/>
          <c:showBubbleSize val="0"/>
        </c:dLbls>
        <c:axId val="1047157256"/>
        <c:axId val="1047157584"/>
      </c:scatterChart>
      <c:valAx>
        <c:axId val="10471572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s-CL" sz="1100"/>
                  <a:t>Espesor, 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crossAx val="1047157584"/>
        <c:crosses val="autoZero"/>
        <c:crossBetween val="midCat"/>
        <c:majorUnit val="1.0000000000000003E-4"/>
        <c:minorUnit val="2.0000000000000008E-5"/>
      </c:valAx>
      <c:valAx>
        <c:axId val="1047157584"/>
        <c:scaling>
          <c:orientation val="minMax"/>
        </c:scaling>
        <c:delete val="1"/>
        <c:axPos val="l"/>
        <c:numFmt formatCode="0.0" sourceLinked="1"/>
        <c:majorTickMark val="out"/>
        <c:minorTickMark val="none"/>
        <c:tickLblPos val="nextTo"/>
        <c:crossAx val="1047157256"/>
        <c:crosses val="autoZero"/>
        <c:crossBetween val="midCat"/>
      </c:valAx>
      <c:valAx>
        <c:axId val="650269456"/>
        <c:scaling>
          <c:orientation val="minMax"/>
        </c:scaling>
        <c:delete val="1"/>
        <c:axPos val="t"/>
        <c:numFmt formatCode="General" sourceLinked="1"/>
        <c:majorTickMark val="out"/>
        <c:minorTickMark val="none"/>
        <c:tickLblPos val="nextTo"/>
        <c:crossAx val="650268800"/>
        <c:crosses val="max"/>
        <c:crossBetween val="between"/>
      </c:valAx>
      <c:catAx>
        <c:axId val="650268800"/>
        <c:scaling>
          <c:orientation val="minMax"/>
        </c:scaling>
        <c:delete val="1"/>
        <c:axPos val="r"/>
        <c:majorTickMark val="out"/>
        <c:minorTickMark val="none"/>
        <c:tickLblPos val="nextTo"/>
        <c:crossAx val="650269456"/>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L"/>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CÁLCULOS!$J$60:$J$65</c:f>
              <c:numCache>
                <c:formatCode>0.00</c:formatCode>
                <c:ptCount val="6"/>
                <c:pt idx="0">
                  <c:v>0</c:v>
                </c:pt>
                <c:pt idx="1">
                  <c:v>5000</c:v>
                </c:pt>
                <c:pt idx="2">
                  <c:v>5015</c:v>
                </c:pt>
                <c:pt idx="3">
                  <c:v>6015</c:v>
                </c:pt>
                <c:pt idx="4">
                  <c:v>6030</c:v>
                </c:pt>
                <c:pt idx="5">
                  <c:v>6030.12</c:v>
                </c:pt>
              </c:numCache>
            </c:numRef>
          </c:xVal>
          <c:yVal>
            <c:numRef>
              <c:f>CÁLCULOS!$P$60:$P$65</c:f>
              <c:numCache>
                <c:formatCode>0.00</c:formatCode>
                <c:ptCount val="6"/>
                <c:pt idx="0">
                  <c:v>767.24078221156549</c:v>
                </c:pt>
                <c:pt idx="1">
                  <c:v>883.81703048135057</c:v>
                </c:pt>
                <c:pt idx="2">
                  <c:v>889.66352552964554</c:v>
                </c:pt>
                <c:pt idx="3">
                  <c:v>1279.4298620826078</c:v>
                </c:pt>
                <c:pt idx="4">
                  <c:v>1285.2763571309022</c:v>
                </c:pt>
                <c:pt idx="5">
                  <c:v>1285.3231290912881</c:v>
                </c:pt>
              </c:numCache>
            </c:numRef>
          </c:yVal>
          <c:smooth val="0"/>
          <c:extLst>
            <c:ext xmlns:c16="http://schemas.microsoft.com/office/drawing/2014/chart" uri="{C3380CC4-5D6E-409C-BE32-E72D297353CC}">
              <c16:uniqueId val="{00000000-6F41-49E3-AB1E-2D04210E6D07}"/>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CÁLCULOS!$J$60:$J$65</c:f>
              <c:numCache>
                <c:formatCode>0.00</c:formatCode>
                <c:ptCount val="6"/>
                <c:pt idx="0">
                  <c:v>0</c:v>
                </c:pt>
                <c:pt idx="1">
                  <c:v>5000</c:v>
                </c:pt>
                <c:pt idx="2">
                  <c:v>5015</c:v>
                </c:pt>
                <c:pt idx="3">
                  <c:v>6015</c:v>
                </c:pt>
                <c:pt idx="4">
                  <c:v>6030</c:v>
                </c:pt>
                <c:pt idx="5">
                  <c:v>6030.12</c:v>
                </c:pt>
              </c:numCache>
            </c:numRef>
          </c:xVal>
          <c:yVal>
            <c:numRef>
              <c:f>CÁLCULOS!$L$60:$L$65</c:f>
              <c:numCache>
                <c:formatCode>0.0</c:formatCode>
                <c:ptCount val="6"/>
                <c:pt idx="0">
                  <c:v>877.15903813241903</c:v>
                </c:pt>
                <c:pt idx="1">
                  <c:v>883.81703048135057</c:v>
                </c:pt>
                <c:pt idx="2">
                  <c:v>1374.574647833676</c:v>
                </c:pt>
                <c:pt idx="3">
                  <c:v>1374.574647833676</c:v>
                </c:pt>
                <c:pt idx="4">
                  <c:v>2282.5994128977159</c:v>
                </c:pt>
                <c:pt idx="5">
                  <c:v>2305.7561079064658</c:v>
                </c:pt>
              </c:numCache>
            </c:numRef>
          </c:yVal>
          <c:smooth val="0"/>
          <c:extLst>
            <c:ext xmlns:c16="http://schemas.microsoft.com/office/drawing/2014/chart" uri="{C3380CC4-5D6E-409C-BE32-E72D297353CC}">
              <c16:uniqueId val="{00000002-6F41-49E3-AB1E-2D04210E6D07}"/>
            </c:ext>
          </c:extLst>
        </c:ser>
        <c:dLbls>
          <c:showLegendKey val="0"/>
          <c:showVal val="0"/>
          <c:showCatName val="0"/>
          <c:showSerName val="0"/>
          <c:showPercent val="0"/>
          <c:showBubbleSize val="0"/>
        </c:dLbls>
        <c:axId val="652597504"/>
        <c:axId val="652598160"/>
      </c:scatterChart>
      <c:valAx>
        <c:axId val="65259750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652598160"/>
        <c:crosses val="autoZero"/>
        <c:crossBetween val="midCat"/>
      </c:valAx>
      <c:valAx>
        <c:axId val="652598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6525975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V$10" lockText="1" noThreeD="1"/>
</file>

<file path=xl/ctrlProps/ctrlProp10.xml><?xml version="1.0" encoding="utf-8"?>
<formControlPr xmlns="http://schemas.microsoft.com/office/spreadsheetml/2009/9/main" objectType="CheckBox" checked="Checked" fmlaLink="$W$100" lockText="1" noThreeD="1"/>
</file>

<file path=xl/ctrlProps/ctrlProp11.xml><?xml version="1.0" encoding="utf-8"?>
<formControlPr xmlns="http://schemas.microsoft.com/office/spreadsheetml/2009/9/main" objectType="CheckBox" checked="Checked" fmlaLink="$Z$100" lockText="1" noThreeD="1"/>
</file>

<file path=xl/ctrlProps/ctrlProp12.xml><?xml version="1.0" encoding="utf-8"?>
<formControlPr xmlns="http://schemas.microsoft.com/office/spreadsheetml/2009/9/main" objectType="CheckBox" checked="Checked" fmlaLink="$AC$100" lockText="1" noThreeD="1"/>
</file>

<file path=xl/ctrlProps/ctrlProp13.xml><?xml version="1.0" encoding="utf-8"?>
<formControlPr xmlns="http://schemas.microsoft.com/office/spreadsheetml/2009/9/main" objectType="CheckBox" checked="Checked" fmlaLink="$U$100" lockText="1" noThreeD="1"/>
</file>

<file path=xl/ctrlProps/ctrlProp14.xml><?xml version="1.0" encoding="utf-8"?>
<formControlPr xmlns="http://schemas.microsoft.com/office/spreadsheetml/2009/9/main" objectType="CheckBox" checked="Checked" fmlaLink="$AQ$100" lockText="1" noThreeD="1"/>
</file>

<file path=xl/ctrlProps/ctrlProp15.xml><?xml version="1.0" encoding="utf-8"?>
<formControlPr xmlns="http://schemas.microsoft.com/office/spreadsheetml/2009/9/main" objectType="CheckBox" checked="Checked" fmlaLink="$AT$100" lockText="1" noThreeD="1"/>
</file>

<file path=xl/ctrlProps/ctrlProp16.xml><?xml version="1.0" encoding="utf-8"?>
<formControlPr xmlns="http://schemas.microsoft.com/office/spreadsheetml/2009/9/main" objectType="CheckBox" checked="Checked" fmlaLink="$AW$100" lockText="1" noThreeD="1"/>
</file>

<file path=xl/ctrlProps/ctrlProp17.xml><?xml version="1.0" encoding="utf-8"?>
<formControlPr xmlns="http://schemas.microsoft.com/office/spreadsheetml/2009/9/main" objectType="CheckBox" checked="Checked" fmlaLink="$AO$100" lockText="1" noThreeD="1"/>
</file>

<file path=xl/ctrlProps/ctrlProp18.xml><?xml version="1.0" encoding="utf-8"?>
<formControlPr xmlns="http://schemas.microsoft.com/office/spreadsheetml/2009/9/main" objectType="CheckBox" checked="Checked" fmlaLink="$V$10" lockText="1" noThreeD="1"/>
</file>

<file path=xl/ctrlProps/ctrlProp19.xml><?xml version="1.0" encoding="utf-8"?>
<formControlPr xmlns="http://schemas.microsoft.com/office/spreadsheetml/2009/9/main" objectType="CheckBox" checked="Checked" fmlaLink="$X$100" lockText="1" noThreeD="1"/>
</file>

<file path=xl/ctrlProps/ctrlProp2.xml><?xml version="1.0" encoding="utf-8"?>
<formControlPr xmlns="http://schemas.microsoft.com/office/spreadsheetml/2009/9/main" objectType="CheckBox" checked="Checked" fmlaLink="$X$100" lockText="1" noThreeD="1"/>
</file>

<file path=xl/ctrlProps/ctrlProp20.xml><?xml version="1.0" encoding="utf-8"?>
<formControlPr xmlns="http://schemas.microsoft.com/office/spreadsheetml/2009/9/main" objectType="CheckBox" checked="Checked" fmlaLink="$AA$100" lockText="1" noThreeD="1"/>
</file>

<file path=xl/ctrlProps/ctrlProp21.xml><?xml version="1.0" encoding="utf-8"?>
<formControlPr xmlns="http://schemas.microsoft.com/office/spreadsheetml/2009/9/main" objectType="CheckBox" checked="Checked" fmlaLink="$AD$100" lockText="1" noThreeD="1"/>
</file>

<file path=xl/ctrlProps/ctrlProp22.xml><?xml version="1.0" encoding="utf-8"?>
<formControlPr xmlns="http://schemas.microsoft.com/office/spreadsheetml/2009/9/main" objectType="CheckBox" checked="Checked" fmlaLink="$V$100" lockText="1" noThreeD="1"/>
</file>

<file path=xl/ctrlProps/ctrlProp23.xml><?xml version="1.0" encoding="utf-8"?>
<formControlPr xmlns="http://schemas.microsoft.com/office/spreadsheetml/2009/9/main" objectType="CheckBox" checked="Checked" fmlaLink="$AR$100" lockText="1" noThreeD="1"/>
</file>

<file path=xl/ctrlProps/ctrlProp24.xml><?xml version="1.0" encoding="utf-8"?>
<formControlPr xmlns="http://schemas.microsoft.com/office/spreadsheetml/2009/9/main" objectType="CheckBox" checked="Checked" fmlaLink="$AU$100" lockText="1" noThreeD="1"/>
</file>

<file path=xl/ctrlProps/ctrlProp25.xml><?xml version="1.0" encoding="utf-8"?>
<formControlPr xmlns="http://schemas.microsoft.com/office/spreadsheetml/2009/9/main" objectType="CheckBox" checked="Checked" fmlaLink="$AX$100" lockText="1" noThreeD="1"/>
</file>

<file path=xl/ctrlProps/ctrlProp26.xml><?xml version="1.0" encoding="utf-8"?>
<formControlPr xmlns="http://schemas.microsoft.com/office/spreadsheetml/2009/9/main" objectType="CheckBox" checked="Checked" fmlaLink="$AP$100" lockText="1" noThreeD="1"/>
</file>

<file path=xl/ctrlProps/ctrlProp27.xml><?xml version="1.0" encoding="utf-8"?>
<formControlPr xmlns="http://schemas.microsoft.com/office/spreadsheetml/2009/9/main" objectType="CheckBox" checked="Checked" fmlaLink="$W$100" lockText="1" noThreeD="1"/>
</file>

<file path=xl/ctrlProps/ctrlProp28.xml><?xml version="1.0" encoding="utf-8"?>
<formControlPr xmlns="http://schemas.microsoft.com/office/spreadsheetml/2009/9/main" objectType="CheckBox" checked="Checked" fmlaLink="$Z$100" lockText="1" noThreeD="1"/>
</file>

<file path=xl/ctrlProps/ctrlProp29.xml><?xml version="1.0" encoding="utf-8"?>
<formControlPr xmlns="http://schemas.microsoft.com/office/spreadsheetml/2009/9/main" objectType="CheckBox" checked="Checked" fmlaLink="$AC$100" lockText="1" noThreeD="1"/>
</file>

<file path=xl/ctrlProps/ctrlProp3.xml><?xml version="1.0" encoding="utf-8"?>
<formControlPr xmlns="http://schemas.microsoft.com/office/spreadsheetml/2009/9/main" objectType="CheckBox" checked="Checked" fmlaLink="$AA$100" lockText="1" noThreeD="1"/>
</file>

<file path=xl/ctrlProps/ctrlProp30.xml><?xml version="1.0" encoding="utf-8"?>
<formControlPr xmlns="http://schemas.microsoft.com/office/spreadsheetml/2009/9/main" objectType="CheckBox" checked="Checked" fmlaLink="$U$100" lockText="1" noThreeD="1"/>
</file>

<file path=xl/ctrlProps/ctrlProp31.xml><?xml version="1.0" encoding="utf-8"?>
<formControlPr xmlns="http://schemas.microsoft.com/office/spreadsheetml/2009/9/main" objectType="CheckBox" checked="Checked" fmlaLink="$AQ$100" lockText="1" noThreeD="1"/>
</file>

<file path=xl/ctrlProps/ctrlProp32.xml><?xml version="1.0" encoding="utf-8"?>
<formControlPr xmlns="http://schemas.microsoft.com/office/spreadsheetml/2009/9/main" objectType="CheckBox" checked="Checked" fmlaLink="$AT$100" lockText="1" noThreeD="1"/>
</file>

<file path=xl/ctrlProps/ctrlProp33.xml><?xml version="1.0" encoding="utf-8"?>
<formControlPr xmlns="http://schemas.microsoft.com/office/spreadsheetml/2009/9/main" objectType="CheckBox" checked="Checked" fmlaLink="$AW$100" lockText="1" noThreeD="1"/>
</file>

<file path=xl/ctrlProps/ctrlProp34.xml><?xml version="1.0" encoding="utf-8"?>
<formControlPr xmlns="http://schemas.microsoft.com/office/spreadsheetml/2009/9/main" objectType="CheckBox" checked="Checked" fmlaLink="$AO$100" lockText="1" noThreeD="1"/>
</file>

<file path=xl/ctrlProps/ctrlProp4.xml><?xml version="1.0" encoding="utf-8"?>
<formControlPr xmlns="http://schemas.microsoft.com/office/spreadsheetml/2009/9/main" objectType="CheckBox" checked="Checked" fmlaLink="$AD$100" lockText="1" noThreeD="1"/>
</file>

<file path=xl/ctrlProps/ctrlProp5.xml><?xml version="1.0" encoding="utf-8"?>
<formControlPr xmlns="http://schemas.microsoft.com/office/spreadsheetml/2009/9/main" objectType="CheckBox" checked="Checked" fmlaLink="$V$100" lockText="1" noThreeD="1"/>
</file>

<file path=xl/ctrlProps/ctrlProp6.xml><?xml version="1.0" encoding="utf-8"?>
<formControlPr xmlns="http://schemas.microsoft.com/office/spreadsheetml/2009/9/main" objectType="CheckBox" checked="Checked" fmlaLink="$AR$100" lockText="1" noThreeD="1"/>
</file>

<file path=xl/ctrlProps/ctrlProp7.xml><?xml version="1.0" encoding="utf-8"?>
<formControlPr xmlns="http://schemas.microsoft.com/office/spreadsheetml/2009/9/main" objectType="CheckBox" checked="Checked" fmlaLink="$AU$100" lockText="1" noThreeD="1"/>
</file>

<file path=xl/ctrlProps/ctrlProp8.xml><?xml version="1.0" encoding="utf-8"?>
<formControlPr xmlns="http://schemas.microsoft.com/office/spreadsheetml/2009/9/main" objectType="CheckBox" checked="Checked" fmlaLink="$AX$100" lockText="1" noThreeD="1"/>
</file>

<file path=xl/ctrlProps/ctrlProp9.xml><?xml version="1.0" encoding="utf-8"?>
<formControlPr xmlns="http://schemas.microsoft.com/office/spreadsheetml/2009/9/main" objectType="CheckBox" checked="Checked" fmlaLink="$AP$100" lockText="1" noThreeD="1"/>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5.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10.emf"/><Relationship Id="rId1" Type="http://schemas.openxmlformats.org/officeDocument/2006/relationships/image" Target="../media/image11.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1</xdr:row>
          <xdr:rowOff>57150</xdr:rowOff>
        </xdr:from>
        <xdr:to>
          <xdr:col>10</xdr:col>
          <xdr:colOff>114300</xdr:colOff>
          <xdr:row>2</xdr:row>
          <xdr:rowOff>361950</xdr:rowOff>
        </xdr:to>
        <xdr:sp macro="" textlink="">
          <xdr:nvSpPr>
            <xdr:cNvPr id="36889" name="CommandButton1" hidden="1">
              <a:extLst>
                <a:ext uri="{63B3BB69-23CF-44E3-9099-C40C66FF867C}">
                  <a14:compatExt spid="_x0000_s36889"/>
                </a:ext>
                <a:ext uri="{FF2B5EF4-FFF2-40B4-BE49-F238E27FC236}">
                  <a16:creationId xmlns:a16="http://schemas.microsoft.com/office/drawing/2014/main" id="{00000000-0008-0000-0100-000019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0.04558</cdr:x>
      <cdr:y>0.12407</cdr:y>
    </cdr:from>
    <cdr:to>
      <cdr:x>0.95272</cdr:x>
      <cdr:y>0.12407</cdr:y>
    </cdr:to>
    <cdr:cxnSp macro="">
      <cdr:nvCxnSpPr>
        <cdr:cNvPr id="3" name="Conector recto 2">
          <a:extLst xmlns:a="http://schemas.openxmlformats.org/drawingml/2006/main">
            <a:ext uri="{FF2B5EF4-FFF2-40B4-BE49-F238E27FC236}">
              <a16:creationId xmlns:a16="http://schemas.microsoft.com/office/drawing/2014/main" id="{DE6FC5DE-5576-4808-A30D-B9F44297D729}"/>
            </a:ext>
          </a:extLst>
        </cdr:cNvPr>
        <cdr:cNvCxnSpPr/>
      </cdr:nvCxnSpPr>
      <cdr:spPr>
        <a:xfrm xmlns:a="http://schemas.openxmlformats.org/drawingml/2006/main">
          <a:off x="229722" y="357322"/>
          <a:ext cx="4572000" cy="0"/>
        </a:xfrm>
        <a:prstGeom xmlns:a="http://schemas.openxmlformats.org/drawingml/2006/main" prst="line">
          <a:avLst/>
        </a:prstGeom>
        <a:ln xmlns:a="http://schemas.openxmlformats.org/drawingml/2006/main" w="190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0.01303</cdr:x>
      <cdr:y>0.13866</cdr:y>
    </cdr:from>
    <cdr:to>
      <cdr:x>0.03697</cdr:x>
      <cdr:y>0.88951</cdr:y>
    </cdr:to>
    <cdr:sp macro="" textlink="">
      <cdr:nvSpPr>
        <cdr:cNvPr id="6" name="CuadroTexto 10"/>
        <cdr:cNvSpPr txBox="1"/>
      </cdr:nvSpPr>
      <cdr:spPr>
        <a:xfrm xmlns:a="http://schemas.openxmlformats.org/drawingml/2006/main">
          <a:off x="73211"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EXTERIOR</a:t>
          </a:r>
        </a:p>
      </cdr:txBody>
    </cdr:sp>
  </cdr:relSizeAnchor>
  <cdr:relSizeAnchor xmlns:cdr="http://schemas.openxmlformats.org/drawingml/2006/chartDrawing">
    <cdr:from>
      <cdr:x>0.96066</cdr:x>
      <cdr:y>0.13866</cdr:y>
    </cdr:from>
    <cdr:to>
      <cdr:x>0.9846</cdr:x>
      <cdr:y>0.88951</cdr:y>
    </cdr:to>
    <cdr:sp macro="" textlink="">
      <cdr:nvSpPr>
        <cdr:cNvPr id="7" name="CuadroTexto 10"/>
        <cdr:cNvSpPr txBox="1"/>
      </cdr:nvSpPr>
      <cdr:spPr>
        <a:xfrm xmlns:a="http://schemas.openxmlformats.org/drawingml/2006/main">
          <a:off x="5396005"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INTERIOR</a:t>
          </a:r>
        </a:p>
      </cdr:txBody>
    </cdr:sp>
  </cdr:relSizeAnchor>
  <cdr:relSizeAnchor xmlns:cdr="http://schemas.openxmlformats.org/drawingml/2006/chartDrawing">
    <cdr:from>
      <cdr:x>0.04558</cdr:x>
      <cdr:y>0.895</cdr:y>
    </cdr:from>
    <cdr:to>
      <cdr:x>0.95272</cdr:x>
      <cdr:y>0.895</cdr:y>
    </cdr:to>
    <cdr:cxnSp macro="">
      <cdr:nvCxnSpPr>
        <cdr:cNvPr id="8" name="Conector recto 7">
          <a:extLst xmlns:a="http://schemas.openxmlformats.org/drawingml/2006/main">
            <a:ext uri="{FF2B5EF4-FFF2-40B4-BE49-F238E27FC236}">
              <a16:creationId xmlns:a16="http://schemas.microsoft.com/office/drawing/2014/main" id="{242A134C-2069-4A1A-A919-9C87936CC857}"/>
            </a:ext>
          </a:extLst>
        </cdr:cNvPr>
        <cdr:cNvCxnSpPr/>
      </cdr:nvCxnSpPr>
      <cdr:spPr>
        <a:xfrm xmlns:a="http://schemas.openxmlformats.org/drawingml/2006/main">
          <a:off x="229722" y="2577600"/>
          <a:ext cx="4572000" cy="0"/>
        </a:xfrm>
        <a:prstGeom xmlns:a="http://schemas.openxmlformats.org/drawingml/2006/main" prst="line">
          <a:avLst/>
        </a:prstGeom>
        <a:ln xmlns:a="http://schemas.openxmlformats.org/drawingml/2006/main" w="190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0.01303</cdr:x>
      <cdr:y>0.13866</cdr:y>
    </cdr:from>
    <cdr:to>
      <cdr:x>0.03697</cdr:x>
      <cdr:y>0.88951</cdr:y>
    </cdr:to>
    <cdr:sp macro="" textlink="">
      <cdr:nvSpPr>
        <cdr:cNvPr id="6" name="CuadroTexto 10"/>
        <cdr:cNvSpPr txBox="1"/>
      </cdr:nvSpPr>
      <cdr:spPr>
        <a:xfrm xmlns:a="http://schemas.openxmlformats.org/drawingml/2006/main">
          <a:off x="73211"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EXTERIOR</a:t>
          </a:r>
        </a:p>
      </cdr:txBody>
    </cdr:sp>
  </cdr:relSizeAnchor>
  <cdr:relSizeAnchor xmlns:cdr="http://schemas.openxmlformats.org/drawingml/2006/chartDrawing">
    <cdr:from>
      <cdr:x>0.96066</cdr:x>
      <cdr:y>0.13866</cdr:y>
    </cdr:from>
    <cdr:to>
      <cdr:x>0.9846</cdr:x>
      <cdr:y>0.88951</cdr:y>
    </cdr:to>
    <cdr:sp macro="" textlink="">
      <cdr:nvSpPr>
        <cdr:cNvPr id="7" name="CuadroTexto 10"/>
        <cdr:cNvSpPr txBox="1"/>
      </cdr:nvSpPr>
      <cdr:spPr>
        <a:xfrm xmlns:a="http://schemas.openxmlformats.org/drawingml/2006/main">
          <a:off x="3331929" y="278675"/>
          <a:ext cx="83033" cy="15090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INTERIOR</a:t>
          </a:r>
        </a:p>
      </cdr:txBody>
    </cdr:sp>
  </cdr:relSizeAnchor>
  <cdr:relSizeAnchor xmlns:cdr="http://schemas.openxmlformats.org/drawingml/2006/chartDrawing">
    <cdr:from>
      <cdr:x>0.04953</cdr:x>
      <cdr:y>0.89513</cdr:y>
    </cdr:from>
    <cdr:to>
      <cdr:x>0.95667</cdr:x>
      <cdr:y>0.89513</cdr:y>
    </cdr:to>
    <cdr:cxnSp macro="">
      <cdr:nvCxnSpPr>
        <cdr:cNvPr id="8" name="Conector recto 7">
          <a:extLst xmlns:a="http://schemas.openxmlformats.org/drawingml/2006/main">
            <a:ext uri="{FF2B5EF4-FFF2-40B4-BE49-F238E27FC236}">
              <a16:creationId xmlns:a16="http://schemas.microsoft.com/office/drawing/2014/main" id="{7E502C01-518F-47C0-BA78-778C019609AF}"/>
            </a:ext>
          </a:extLst>
        </cdr:cNvPr>
        <cdr:cNvCxnSpPr/>
      </cdr:nvCxnSpPr>
      <cdr:spPr>
        <a:xfrm xmlns:a="http://schemas.openxmlformats.org/drawingml/2006/main">
          <a:off x="239820" y="2577962"/>
          <a:ext cx="4392371" cy="0"/>
        </a:xfrm>
        <a:prstGeom xmlns:a="http://schemas.openxmlformats.org/drawingml/2006/main" prst="line">
          <a:avLst/>
        </a:prstGeom>
        <a:ln xmlns:a="http://schemas.openxmlformats.org/drawingml/2006/main" w="190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0.03509</cdr:x>
      <cdr:y>0.15425</cdr:y>
    </cdr:from>
    <cdr:to>
      <cdr:x>0.96448</cdr:x>
      <cdr:y>0.15425</cdr:y>
    </cdr:to>
    <cdr:cxnSp macro="">
      <cdr:nvCxnSpPr>
        <cdr:cNvPr id="4" name="Conector recto 3">
          <a:extLst xmlns:a="http://schemas.openxmlformats.org/drawingml/2006/main">
            <a:ext uri="{FF2B5EF4-FFF2-40B4-BE49-F238E27FC236}">
              <a16:creationId xmlns:a16="http://schemas.microsoft.com/office/drawing/2014/main" id="{AFBDCB9F-CCF0-4F96-9FC4-39D8F4160639}"/>
            </a:ext>
          </a:extLst>
        </cdr:cNvPr>
        <cdr:cNvCxnSpPr/>
      </cdr:nvCxnSpPr>
      <cdr:spPr>
        <a:xfrm xmlns:a="http://schemas.openxmlformats.org/drawingml/2006/main">
          <a:off x="169906" y="444248"/>
          <a:ext cx="4500106" cy="0"/>
        </a:xfrm>
        <a:prstGeom xmlns:a="http://schemas.openxmlformats.org/drawingml/2006/main" prst="line">
          <a:avLst/>
        </a:prstGeom>
        <a:ln xmlns:a="http://schemas.openxmlformats.org/drawingml/2006/main" w="190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3</xdr:col>
      <xdr:colOff>802822</xdr:colOff>
      <xdr:row>68</xdr:row>
      <xdr:rowOff>57149</xdr:rowOff>
    </xdr:from>
    <xdr:to>
      <xdr:col>10</xdr:col>
      <xdr:colOff>326572</xdr:colOff>
      <xdr:row>80</xdr:row>
      <xdr:rowOff>201385</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95250</xdr:colOff>
      <xdr:row>21</xdr:row>
      <xdr:rowOff>19050</xdr:rowOff>
    </xdr:from>
    <xdr:to>
      <xdr:col>8</xdr:col>
      <xdr:colOff>981075</xdr:colOff>
      <xdr:row>25</xdr:row>
      <xdr:rowOff>161925</xdr:rowOff>
    </xdr:to>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5143500" y="1562100"/>
          <a:ext cx="120015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es-CL" sz="1050" b="0"/>
            <a:t>Nota: </a:t>
          </a:r>
          <a:r>
            <a:rPr lang="es-CL" sz="1050"/>
            <a:t>Determine el</a:t>
          </a:r>
          <a:r>
            <a:rPr lang="es-CL" sz="1050" baseline="0"/>
            <a:t> área de cada sección como proporcional a 10 m</a:t>
          </a:r>
          <a:r>
            <a:rPr lang="es-CL" sz="1050" baseline="0">
              <a:latin typeface="Calibri" panose="020F0502020204030204" pitchFamily="34" charset="0"/>
              <a:cs typeface="Calibri" panose="020F0502020204030204" pitchFamily="34" charset="0"/>
            </a:rPr>
            <a:t>² de solución constructiva</a:t>
          </a:r>
          <a:endParaRPr lang="es-CL" sz="1050"/>
        </a:p>
      </xdr:txBody>
    </xdr:sp>
    <xdr:clientData/>
  </xdr:twoCellAnchor>
  <xdr:oneCellAnchor>
    <xdr:from>
      <xdr:col>0</xdr:col>
      <xdr:colOff>319617</xdr:colOff>
      <xdr:row>42</xdr:row>
      <xdr:rowOff>18708</xdr:rowOff>
    </xdr:from>
    <xdr:ext cx="3499908" cy="1951910"/>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24417" y="13772808"/>
          <a:ext cx="3499908" cy="1951910"/>
        </a:xfrm>
        <a:prstGeom prst="rect">
          <a:avLst/>
        </a:prstGeom>
      </xdr:spPr>
    </xdr:pic>
    <xdr:clientData/>
  </xdr:oneCellAnchor>
  <xdr:oneCellAnchor>
    <xdr:from>
      <xdr:col>3</xdr:col>
      <xdr:colOff>85725</xdr:colOff>
      <xdr:row>40</xdr:row>
      <xdr:rowOff>161925</xdr:rowOff>
    </xdr:from>
    <xdr:ext cx="2571750" cy="441070"/>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2"/>
        <a:srcRect l="60668" t="78419" r="23644" b="17385"/>
        <a:stretch/>
      </xdr:blipFill>
      <xdr:spPr>
        <a:xfrm>
          <a:off x="2143125" y="5248275"/>
          <a:ext cx="2571750" cy="4410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47625</xdr:colOff>
      <xdr:row>23</xdr:row>
      <xdr:rowOff>9526</xdr:rowOff>
    </xdr:from>
    <xdr:to>
      <xdr:col>0</xdr:col>
      <xdr:colOff>161925</xdr:colOff>
      <xdr:row>35</xdr:row>
      <xdr:rowOff>0</xdr:rowOff>
    </xdr:to>
    <xdr:sp macro="" textlink="">
      <xdr:nvSpPr>
        <xdr:cNvPr id="2" name="6 Flecha a la derecha con bandas">
          <a:extLst>
            <a:ext uri="{FF2B5EF4-FFF2-40B4-BE49-F238E27FC236}">
              <a16:creationId xmlns:a16="http://schemas.microsoft.com/office/drawing/2014/main" id="{00000000-0008-0000-0200-000002000000}"/>
            </a:ext>
          </a:extLst>
        </xdr:cNvPr>
        <xdr:cNvSpPr/>
      </xdr:nvSpPr>
      <xdr:spPr>
        <a:xfrm rot="16200000">
          <a:off x="-876300" y="5581651"/>
          <a:ext cx="2343149" cy="114300"/>
        </a:xfrm>
        <a:prstGeom prst="stripedRightArrow">
          <a:avLst/>
        </a:prstGeom>
        <a:gradFill flip="none" rotWithShape="1">
          <a:gsLst>
            <a:gs pos="0">
              <a:srgbClr val="FF3399">
                <a:lumMod val="98000"/>
                <a:lumOff val="2000"/>
              </a:srgbClr>
            </a:gs>
            <a:gs pos="25000">
              <a:srgbClr val="FF6633"/>
            </a:gs>
            <a:gs pos="50000">
              <a:srgbClr val="FFFF00"/>
            </a:gs>
            <a:gs pos="75000">
              <a:srgbClr val="01A78F"/>
            </a:gs>
            <a:gs pos="100000">
              <a:srgbClr val="3366FF"/>
            </a:gs>
          </a:gsLst>
          <a:lin ang="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mc:AlternateContent xmlns:mc="http://schemas.openxmlformats.org/markup-compatibility/2006">
    <mc:Choice xmlns:a14="http://schemas.microsoft.com/office/drawing/2010/main" Requires="a14">
      <xdr:twoCellAnchor editAs="oneCell">
        <xdr:from>
          <xdr:col>7</xdr:col>
          <xdr:colOff>57150</xdr:colOff>
          <xdr:row>14</xdr:row>
          <xdr:rowOff>19050</xdr:rowOff>
        </xdr:from>
        <xdr:to>
          <xdr:col>7</xdr:col>
          <xdr:colOff>276225</xdr:colOff>
          <xdr:row>14</xdr:row>
          <xdr:rowOff>190500</xdr:rowOff>
        </xdr:to>
        <xdr:sp macro="" textlink="">
          <xdr:nvSpPr>
            <xdr:cNvPr id="22529" name="Check Box 15"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solidFill>
              <a:srgbClr val="DAEEF3"/>
            </a:solidFill>
            <a:ln>
              <a:noFill/>
            </a:ln>
            <a:extLs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7</xdr:col>
      <xdr:colOff>47625</xdr:colOff>
      <xdr:row>23</xdr:row>
      <xdr:rowOff>9526</xdr:rowOff>
    </xdr:from>
    <xdr:to>
      <xdr:col>7</xdr:col>
      <xdr:colOff>161925</xdr:colOff>
      <xdr:row>35</xdr:row>
      <xdr:rowOff>0</xdr:rowOff>
    </xdr:to>
    <xdr:sp macro="" textlink="">
      <xdr:nvSpPr>
        <xdr:cNvPr id="4" name="6 Flecha a la derecha con bandas">
          <a:extLst>
            <a:ext uri="{FF2B5EF4-FFF2-40B4-BE49-F238E27FC236}">
              <a16:creationId xmlns:a16="http://schemas.microsoft.com/office/drawing/2014/main" id="{00000000-0008-0000-0200-000004000000}"/>
            </a:ext>
          </a:extLst>
        </xdr:cNvPr>
        <xdr:cNvSpPr/>
      </xdr:nvSpPr>
      <xdr:spPr>
        <a:xfrm rot="16200000">
          <a:off x="4605338" y="5548313"/>
          <a:ext cx="2276474" cy="114300"/>
        </a:xfrm>
        <a:prstGeom prst="stripedRightArrow">
          <a:avLst/>
        </a:prstGeom>
        <a:gradFill flip="none" rotWithShape="1">
          <a:gsLst>
            <a:gs pos="0">
              <a:srgbClr val="FF3399"/>
            </a:gs>
            <a:gs pos="25000">
              <a:srgbClr val="FF6633"/>
            </a:gs>
            <a:gs pos="50000">
              <a:srgbClr val="FFFF00"/>
            </a:gs>
            <a:gs pos="75000">
              <a:srgbClr val="01A78F"/>
            </a:gs>
            <a:gs pos="100000">
              <a:srgbClr val="3366FF"/>
            </a:gs>
          </a:gsLst>
          <a:lin ang="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0</xdr:colOff>
      <xdr:row>47</xdr:row>
      <xdr:rowOff>9525</xdr:rowOff>
    </xdr:from>
    <xdr:to>
      <xdr:col>6</xdr:col>
      <xdr:colOff>3300</xdr:colOff>
      <xdr:row>61</xdr:row>
      <xdr:rowOff>3450</xdr:rowOff>
    </xdr:to>
    <xdr:graphicFrame macro="">
      <xdr:nvGraphicFramePr>
        <xdr:cNvPr id="18" name="Gráfico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9525</xdr:rowOff>
    </xdr:from>
    <xdr:to>
      <xdr:col>13</xdr:col>
      <xdr:colOff>3300</xdr:colOff>
      <xdr:row>61</xdr:row>
      <xdr:rowOff>3450</xdr:rowOff>
    </xdr:to>
    <xdr:graphicFrame macro="">
      <xdr:nvGraphicFramePr>
        <xdr:cNvPr id="19" name="Gráfico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65</xdr:row>
      <xdr:rowOff>0</xdr:rowOff>
    </xdr:from>
    <xdr:to>
      <xdr:col>13</xdr:col>
      <xdr:colOff>3300</xdr:colOff>
      <xdr:row>79</xdr:row>
      <xdr:rowOff>22500</xdr:rowOff>
    </xdr:to>
    <xdr:graphicFrame macro="">
      <xdr:nvGraphicFramePr>
        <xdr:cNvPr id="20" name="Gráfico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65</xdr:row>
      <xdr:rowOff>0</xdr:rowOff>
    </xdr:from>
    <xdr:to>
      <xdr:col>6</xdr:col>
      <xdr:colOff>3300</xdr:colOff>
      <xdr:row>79</xdr:row>
      <xdr:rowOff>22500</xdr:rowOff>
    </xdr:to>
    <xdr:graphicFrame macro="">
      <xdr:nvGraphicFramePr>
        <xdr:cNvPr id="21" name="Gráfico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1859758</xdr:colOff>
      <xdr:row>62</xdr:row>
      <xdr:rowOff>28575</xdr:rowOff>
    </xdr:from>
    <xdr:to>
      <xdr:col>2</xdr:col>
      <xdr:colOff>606771</xdr:colOff>
      <xdr:row>62</xdr:row>
      <xdr:rowOff>171450</xdr:rowOff>
    </xdr:to>
    <xdr:grpSp>
      <xdr:nvGrpSpPr>
        <xdr:cNvPr id="9" name="Grupo 8">
          <a:extLst>
            <a:ext uri="{FF2B5EF4-FFF2-40B4-BE49-F238E27FC236}">
              <a16:creationId xmlns:a16="http://schemas.microsoft.com/office/drawing/2014/main" id="{00000000-0008-0000-0200-000009000000}"/>
            </a:ext>
          </a:extLst>
        </xdr:cNvPr>
        <xdr:cNvGrpSpPr/>
      </xdr:nvGrpSpPr>
      <xdr:grpSpPr>
        <a:xfrm>
          <a:off x="2167016" y="12272809"/>
          <a:ext cx="652013" cy="142875"/>
          <a:chOff x="2421070" y="8515350"/>
          <a:chExt cx="645212" cy="142875"/>
        </a:xfrm>
      </xdr:grpSpPr>
      <mc:AlternateContent xmlns:mc="http://schemas.openxmlformats.org/markup-compatibility/2006">
        <mc:Choice xmlns:a14="http://schemas.microsoft.com/office/drawing/2010/main" Requires="a14">
          <xdr:sp macro="" textlink="">
            <xdr:nvSpPr>
              <xdr:cNvPr id="22531" name="Casilla Presion HR1" hidden="1">
                <a:extLst>
                  <a:ext uri="{63B3BB69-23CF-44E3-9099-C40C66FF867C}">
                    <a14:compatExt spid="_x0000_s22531"/>
                  </a:ext>
                  <a:ext uri="{FF2B5EF4-FFF2-40B4-BE49-F238E27FC236}">
                    <a16:creationId xmlns:a16="http://schemas.microsoft.com/office/drawing/2014/main" id="{00000000-0008-0000-0200-000003580000}"/>
                  </a:ext>
                </a:extLst>
              </xdr:cNvPr>
              <xdr:cNvSpPr/>
            </xdr:nvSpPr>
            <xdr:spPr bwMode="auto">
              <a:xfrm>
                <a:off x="2421070" y="8515350"/>
                <a:ext cx="201023"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11" name="Conector recto 10">
            <a:extLst>
              <a:ext uri="{FF2B5EF4-FFF2-40B4-BE49-F238E27FC236}">
                <a16:creationId xmlns:a16="http://schemas.microsoft.com/office/drawing/2014/main" id="{00000000-0008-0000-0200-00000B000000}"/>
              </a:ext>
            </a:extLst>
          </xdr:cNvPr>
          <xdr:cNvCxnSpPr/>
        </xdr:nvCxnSpPr>
        <xdr:spPr>
          <a:xfrm>
            <a:off x="2864587" y="8591550"/>
            <a:ext cx="201695" cy="0"/>
          </a:xfrm>
          <a:prstGeom prst="line">
            <a:avLst/>
          </a:prstGeom>
          <a:ln w="22225">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690584</xdr:colOff>
      <xdr:row>62</xdr:row>
      <xdr:rowOff>28575</xdr:rowOff>
    </xdr:from>
    <xdr:to>
      <xdr:col>3</xdr:col>
      <xdr:colOff>639234</xdr:colOff>
      <xdr:row>62</xdr:row>
      <xdr:rowOff>171450</xdr:rowOff>
    </xdr:to>
    <xdr:grpSp>
      <xdr:nvGrpSpPr>
        <xdr:cNvPr id="12" name="Grupo 11">
          <a:extLst>
            <a:ext uri="{FF2B5EF4-FFF2-40B4-BE49-F238E27FC236}">
              <a16:creationId xmlns:a16="http://schemas.microsoft.com/office/drawing/2014/main" id="{00000000-0008-0000-0200-00000C000000}"/>
            </a:ext>
          </a:extLst>
        </xdr:cNvPr>
        <xdr:cNvGrpSpPr/>
      </xdr:nvGrpSpPr>
      <xdr:grpSpPr>
        <a:xfrm>
          <a:off x="2902842" y="12272809"/>
          <a:ext cx="686069" cy="142875"/>
          <a:chOff x="3264627" y="8505825"/>
          <a:chExt cx="656990" cy="142875"/>
        </a:xfrm>
      </xdr:grpSpPr>
      <mc:AlternateContent xmlns:mc="http://schemas.openxmlformats.org/markup-compatibility/2006">
        <mc:Choice xmlns:a14="http://schemas.microsoft.com/office/drawing/2010/main" Requires="a14">
          <xdr:sp macro="" textlink="">
            <xdr:nvSpPr>
              <xdr:cNvPr id="22532" name="Casilla M HR2"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3264627" y="8505825"/>
                <a:ext cx="191051"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14" name="Conector recto 13">
            <a:extLst>
              <a:ext uri="{FF2B5EF4-FFF2-40B4-BE49-F238E27FC236}">
                <a16:creationId xmlns:a16="http://schemas.microsoft.com/office/drawing/2014/main" id="{00000000-0008-0000-0200-00000E000000}"/>
              </a:ext>
            </a:extLst>
          </xdr:cNvPr>
          <xdr:cNvCxnSpPr/>
        </xdr:nvCxnSpPr>
        <xdr:spPr>
          <a:xfrm>
            <a:off x="3680435" y="8582025"/>
            <a:ext cx="241182" cy="0"/>
          </a:xfrm>
          <a:prstGeom prst="line">
            <a:avLst/>
          </a:prstGeom>
          <a:ln w="22225">
            <a:prstDash val="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3</xdr:col>
      <xdr:colOff>728662</xdr:colOff>
      <xdr:row>62</xdr:row>
      <xdr:rowOff>28575</xdr:rowOff>
    </xdr:from>
    <xdr:to>
      <xdr:col>4</xdr:col>
      <xdr:colOff>702339</xdr:colOff>
      <xdr:row>62</xdr:row>
      <xdr:rowOff>171450</xdr:rowOff>
    </xdr:to>
    <xdr:grpSp>
      <xdr:nvGrpSpPr>
        <xdr:cNvPr id="15" name="Grupo 14">
          <a:extLst>
            <a:ext uri="{FF2B5EF4-FFF2-40B4-BE49-F238E27FC236}">
              <a16:creationId xmlns:a16="http://schemas.microsoft.com/office/drawing/2014/main" id="{00000000-0008-0000-0200-00000F000000}"/>
            </a:ext>
          </a:extLst>
        </xdr:cNvPr>
        <xdr:cNvGrpSpPr/>
      </xdr:nvGrpSpPr>
      <xdr:grpSpPr>
        <a:xfrm>
          <a:off x="3678339" y="12272809"/>
          <a:ext cx="711097" cy="142875"/>
          <a:chOff x="4067190" y="8505825"/>
          <a:chExt cx="707087" cy="142875"/>
        </a:xfrm>
      </xdr:grpSpPr>
      <mc:AlternateContent xmlns:mc="http://schemas.openxmlformats.org/markup-compatibility/2006">
        <mc:Choice xmlns:a14="http://schemas.microsoft.com/office/drawing/2010/main" Requires="a14">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4067190" y="8505825"/>
                <a:ext cx="208189"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17" name="Conector recto 16">
            <a:extLst>
              <a:ext uri="{FF2B5EF4-FFF2-40B4-BE49-F238E27FC236}">
                <a16:creationId xmlns:a16="http://schemas.microsoft.com/office/drawing/2014/main" id="{00000000-0008-0000-0200-000011000000}"/>
              </a:ext>
            </a:extLst>
          </xdr:cNvPr>
          <xdr:cNvCxnSpPr/>
        </xdr:nvCxnSpPr>
        <xdr:spPr>
          <a:xfrm>
            <a:off x="4486277" y="8582025"/>
            <a:ext cx="288000" cy="0"/>
          </a:xfrm>
          <a:prstGeom prst="line">
            <a:avLst/>
          </a:prstGeom>
          <a:ln w="22225">
            <a:prstDash val="dashDot"/>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1</xdr:col>
      <xdr:colOff>1857375</xdr:colOff>
      <xdr:row>63</xdr:row>
      <xdr:rowOff>0</xdr:rowOff>
    </xdr:from>
    <xdr:to>
      <xdr:col>2</xdr:col>
      <xdr:colOff>335625</xdr:colOff>
      <xdr:row>63</xdr:row>
      <xdr:rowOff>142875</xdr:rowOff>
    </xdr:to>
    <xdr:grpSp>
      <xdr:nvGrpSpPr>
        <xdr:cNvPr id="3" name="Grupo 2">
          <a:extLst>
            <a:ext uri="{FF2B5EF4-FFF2-40B4-BE49-F238E27FC236}">
              <a16:creationId xmlns:a16="http://schemas.microsoft.com/office/drawing/2014/main" id="{00000000-0008-0000-0200-000003000000}"/>
            </a:ext>
          </a:extLst>
        </xdr:cNvPr>
        <xdr:cNvGrpSpPr/>
      </xdr:nvGrpSpPr>
      <xdr:grpSpPr>
        <a:xfrm>
          <a:off x="2164633" y="12428589"/>
          <a:ext cx="383250" cy="142875"/>
          <a:chOff x="2447929" y="12401550"/>
          <a:chExt cx="526121" cy="142875"/>
        </a:xfrm>
      </xdr:grpSpPr>
      <xdr:cxnSp macro="">
        <xdr:nvCxnSpPr>
          <xdr:cNvPr id="22" name="Conector recto 21">
            <a:extLst>
              <a:ext uri="{FF2B5EF4-FFF2-40B4-BE49-F238E27FC236}">
                <a16:creationId xmlns:a16="http://schemas.microsoft.com/office/drawing/2014/main" id="{00000000-0008-0000-0200-000016000000}"/>
              </a:ext>
            </a:extLst>
          </xdr:cNvPr>
          <xdr:cNvCxnSpPr/>
        </xdr:nvCxnSpPr>
        <xdr:spPr>
          <a:xfrm>
            <a:off x="2686050" y="12487275"/>
            <a:ext cx="28800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mc:Choice xmlns:a14="http://schemas.microsoft.com/office/drawing/2010/main" Requires="a14">
          <xdr:sp macro="" textlink="">
            <xdr:nvSpPr>
              <xdr:cNvPr id="22537" name="Casilla M HR1"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2447929" y="12401550"/>
                <a:ext cx="209553"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9</xdr:col>
      <xdr:colOff>2387</xdr:colOff>
      <xdr:row>62</xdr:row>
      <xdr:rowOff>19050</xdr:rowOff>
    </xdr:from>
    <xdr:to>
      <xdr:col>9</xdr:col>
      <xdr:colOff>625827</xdr:colOff>
      <xdr:row>62</xdr:row>
      <xdr:rowOff>161925</xdr:rowOff>
    </xdr:to>
    <xdr:grpSp>
      <xdr:nvGrpSpPr>
        <xdr:cNvPr id="28" name="Grupo 27">
          <a:extLst>
            <a:ext uri="{FF2B5EF4-FFF2-40B4-BE49-F238E27FC236}">
              <a16:creationId xmlns:a16="http://schemas.microsoft.com/office/drawing/2014/main" id="{00000000-0008-0000-0200-00001C000000}"/>
            </a:ext>
          </a:extLst>
        </xdr:cNvPr>
        <xdr:cNvGrpSpPr/>
      </xdr:nvGrpSpPr>
      <xdr:grpSpPr>
        <a:xfrm>
          <a:off x="7714564" y="12263284"/>
          <a:ext cx="623440" cy="142875"/>
          <a:chOff x="2421052" y="8515350"/>
          <a:chExt cx="624890" cy="142875"/>
        </a:xfrm>
      </xdr:grpSpPr>
      <mc:AlternateContent xmlns:mc="http://schemas.openxmlformats.org/markup-compatibility/2006">
        <mc:Choice xmlns:a14="http://schemas.microsoft.com/office/drawing/2010/main" Requires="a14">
          <xdr:sp macro="" textlink="">
            <xdr:nvSpPr>
              <xdr:cNvPr id="22538" name="Casilla M HR1"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2421052" y="8515350"/>
                <a:ext cx="201002"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30" name="Conector recto 29">
            <a:extLst>
              <a:ext uri="{FF2B5EF4-FFF2-40B4-BE49-F238E27FC236}">
                <a16:creationId xmlns:a16="http://schemas.microsoft.com/office/drawing/2014/main" id="{00000000-0008-0000-0200-00001E000000}"/>
              </a:ext>
            </a:extLst>
          </xdr:cNvPr>
          <xdr:cNvCxnSpPr/>
        </xdr:nvCxnSpPr>
        <xdr:spPr>
          <a:xfrm>
            <a:off x="2844247" y="8591550"/>
            <a:ext cx="201695" cy="0"/>
          </a:xfrm>
          <a:prstGeom prst="line">
            <a:avLst/>
          </a:prstGeom>
          <a:ln w="22225">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719138</xdr:colOff>
      <xdr:row>62</xdr:row>
      <xdr:rowOff>28575</xdr:rowOff>
    </xdr:from>
    <xdr:to>
      <xdr:col>10</xdr:col>
      <xdr:colOff>705889</xdr:colOff>
      <xdr:row>62</xdr:row>
      <xdr:rowOff>171450</xdr:rowOff>
    </xdr:to>
    <xdr:grpSp>
      <xdr:nvGrpSpPr>
        <xdr:cNvPr id="31" name="Grupo 30">
          <a:extLst>
            <a:ext uri="{FF2B5EF4-FFF2-40B4-BE49-F238E27FC236}">
              <a16:creationId xmlns:a16="http://schemas.microsoft.com/office/drawing/2014/main" id="{00000000-0008-0000-0200-00001F000000}"/>
            </a:ext>
          </a:extLst>
        </xdr:cNvPr>
        <xdr:cNvGrpSpPr/>
      </xdr:nvGrpSpPr>
      <xdr:grpSpPr>
        <a:xfrm>
          <a:off x="8431315" y="12272809"/>
          <a:ext cx="724171" cy="142875"/>
          <a:chOff x="3200407" y="8505825"/>
          <a:chExt cx="689259" cy="142875"/>
        </a:xfrm>
      </xdr:grpSpPr>
      <mc:AlternateContent xmlns:mc="http://schemas.openxmlformats.org/markup-compatibility/2006">
        <mc:Choice xmlns:a14="http://schemas.microsoft.com/office/drawing/2010/main" Requires="a14">
          <xdr:sp macro="" textlink="">
            <xdr:nvSpPr>
              <xdr:cNvPr id="22539" name="Casilla M HR2"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3200407" y="8505825"/>
                <a:ext cx="191053"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33" name="Conector recto 32">
            <a:extLst>
              <a:ext uri="{FF2B5EF4-FFF2-40B4-BE49-F238E27FC236}">
                <a16:creationId xmlns:a16="http://schemas.microsoft.com/office/drawing/2014/main" id="{00000000-0008-0000-0200-000021000000}"/>
              </a:ext>
            </a:extLst>
          </xdr:cNvPr>
          <xdr:cNvCxnSpPr/>
        </xdr:nvCxnSpPr>
        <xdr:spPr>
          <a:xfrm>
            <a:off x="3648484" y="8582025"/>
            <a:ext cx="241182" cy="0"/>
          </a:xfrm>
          <a:prstGeom prst="line">
            <a:avLst/>
          </a:prstGeom>
          <a:ln w="22225">
            <a:prstDash val="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10</xdr:col>
      <xdr:colOff>709616</xdr:colOff>
      <xdr:row>62</xdr:row>
      <xdr:rowOff>28575</xdr:rowOff>
    </xdr:from>
    <xdr:to>
      <xdr:col>11</xdr:col>
      <xdr:colOff>721392</xdr:colOff>
      <xdr:row>62</xdr:row>
      <xdr:rowOff>171450</xdr:rowOff>
    </xdr:to>
    <xdr:grpSp>
      <xdr:nvGrpSpPr>
        <xdr:cNvPr id="34" name="Grupo 33">
          <a:extLst>
            <a:ext uri="{FF2B5EF4-FFF2-40B4-BE49-F238E27FC236}">
              <a16:creationId xmlns:a16="http://schemas.microsoft.com/office/drawing/2014/main" id="{00000000-0008-0000-0200-000022000000}"/>
            </a:ext>
          </a:extLst>
        </xdr:cNvPr>
        <xdr:cNvGrpSpPr/>
      </xdr:nvGrpSpPr>
      <xdr:grpSpPr>
        <a:xfrm>
          <a:off x="9159213" y="12272809"/>
          <a:ext cx="749195" cy="142875"/>
          <a:chOff x="4000500" y="8505825"/>
          <a:chExt cx="745201" cy="142875"/>
        </a:xfrm>
      </xdr:grpSpPr>
      <mc:AlternateContent xmlns:mc="http://schemas.openxmlformats.org/markup-compatibility/2006">
        <mc:Choice xmlns:a14="http://schemas.microsoft.com/office/drawing/2010/main" Requires="a14">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4000500" y="8505825"/>
                <a:ext cx="208192"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36" name="Conector recto 35">
            <a:extLst>
              <a:ext uri="{FF2B5EF4-FFF2-40B4-BE49-F238E27FC236}">
                <a16:creationId xmlns:a16="http://schemas.microsoft.com/office/drawing/2014/main" id="{00000000-0008-0000-0200-000024000000}"/>
              </a:ext>
            </a:extLst>
          </xdr:cNvPr>
          <xdr:cNvCxnSpPr/>
        </xdr:nvCxnSpPr>
        <xdr:spPr>
          <a:xfrm>
            <a:off x="4457701" y="8582025"/>
            <a:ext cx="288000" cy="0"/>
          </a:xfrm>
          <a:prstGeom prst="line">
            <a:avLst/>
          </a:prstGeom>
          <a:ln w="22225">
            <a:prstDash val="dashDot"/>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8</xdr:col>
      <xdr:colOff>1895475</xdr:colOff>
      <xdr:row>63</xdr:row>
      <xdr:rowOff>0</xdr:rowOff>
    </xdr:from>
    <xdr:to>
      <xdr:col>9</xdr:col>
      <xdr:colOff>373725</xdr:colOff>
      <xdr:row>63</xdr:row>
      <xdr:rowOff>142875</xdr:rowOff>
    </xdr:to>
    <xdr:grpSp>
      <xdr:nvGrpSpPr>
        <xdr:cNvPr id="37" name="Grupo 36">
          <a:extLst>
            <a:ext uri="{FF2B5EF4-FFF2-40B4-BE49-F238E27FC236}">
              <a16:creationId xmlns:a16="http://schemas.microsoft.com/office/drawing/2014/main" id="{00000000-0008-0000-0200-000025000000}"/>
            </a:ext>
          </a:extLst>
        </xdr:cNvPr>
        <xdr:cNvGrpSpPr/>
      </xdr:nvGrpSpPr>
      <xdr:grpSpPr>
        <a:xfrm>
          <a:off x="7702652" y="12428589"/>
          <a:ext cx="383250" cy="142875"/>
          <a:chOff x="2447934" y="12401550"/>
          <a:chExt cx="526116" cy="142875"/>
        </a:xfrm>
      </xdr:grpSpPr>
      <xdr:cxnSp macro="">
        <xdr:nvCxnSpPr>
          <xdr:cNvPr id="38" name="Conector recto 37">
            <a:extLst>
              <a:ext uri="{FF2B5EF4-FFF2-40B4-BE49-F238E27FC236}">
                <a16:creationId xmlns:a16="http://schemas.microsoft.com/office/drawing/2014/main" id="{00000000-0008-0000-0200-000026000000}"/>
              </a:ext>
            </a:extLst>
          </xdr:cNvPr>
          <xdr:cNvCxnSpPr/>
        </xdr:nvCxnSpPr>
        <xdr:spPr>
          <a:xfrm>
            <a:off x="2686050" y="12487275"/>
            <a:ext cx="28800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mc:Choice xmlns:a14="http://schemas.microsoft.com/office/drawing/2010/main" Requires="a14">
          <xdr:sp macro="" textlink="">
            <xdr:nvSpPr>
              <xdr:cNvPr id="22541" name="Casilla M HR1"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2447934" y="12401550"/>
                <a:ext cx="20955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1</xdr:col>
      <xdr:colOff>1878803</xdr:colOff>
      <xdr:row>80</xdr:row>
      <xdr:rowOff>28575</xdr:rowOff>
    </xdr:from>
    <xdr:to>
      <xdr:col>2</xdr:col>
      <xdr:colOff>676650</xdr:colOff>
      <xdr:row>80</xdr:row>
      <xdr:rowOff>171450</xdr:rowOff>
    </xdr:to>
    <xdr:grpSp>
      <xdr:nvGrpSpPr>
        <xdr:cNvPr id="40" name="Grupo 39">
          <a:extLst>
            <a:ext uri="{FF2B5EF4-FFF2-40B4-BE49-F238E27FC236}">
              <a16:creationId xmlns:a16="http://schemas.microsoft.com/office/drawing/2014/main" id="{00000000-0008-0000-0200-000028000000}"/>
            </a:ext>
          </a:extLst>
        </xdr:cNvPr>
        <xdr:cNvGrpSpPr/>
      </xdr:nvGrpSpPr>
      <xdr:grpSpPr>
        <a:xfrm>
          <a:off x="2186061" y="15499019"/>
          <a:ext cx="702847" cy="142875"/>
          <a:chOff x="2421070" y="8515350"/>
          <a:chExt cx="671317" cy="142875"/>
        </a:xfrm>
      </xdr:grpSpPr>
      <mc:AlternateContent xmlns:mc="http://schemas.openxmlformats.org/markup-compatibility/2006">
        <mc:Choice xmlns:a14="http://schemas.microsoft.com/office/drawing/2010/main" Requires="a14">
          <xdr:sp macro="" textlink="">
            <xdr:nvSpPr>
              <xdr:cNvPr id="22542" name="Casilla M HR1"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2421070" y="8515350"/>
                <a:ext cx="201021"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42" name="Conector recto 41">
            <a:extLst>
              <a:ext uri="{FF2B5EF4-FFF2-40B4-BE49-F238E27FC236}">
                <a16:creationId xmlns:a16="http://schemas.microsoft.com/office/drawing/2014/main" id="{00000000-0008-0000-0200-00002A000000}"/>
              </a:ext>
            </a:extLst>
          </xdr:cNvPr>
          <xdr:cNvCxnSpPr/>
        </xdr:nvCxnSpPr>
        <xdr:spPr>
          <a:xfrm>
            <a:off x="2886074" y="8591550"/>
            <a:ext cx="206313" cy="0"/>
          </a:xfrm>
          <a:prstGeom prst="line">
            <a:avLst/>
          </a:prstGeom>
          <a:ln w="22225">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719138</xdr:colOff>
      <xdr:row>80</xdr:row>
      <xdr:rowOff>28575</xdr:rowOff>
    </xdr:from>
    <xdr:to>
      <xdr:col>3</xdr:col>
      <xdr:colOff>724939</xdr:colOff>
      <xdr:row>80</xdr:row>
      <xdr:rowOff>171450</xdr:rowOff>
    </xdr:to>
    <xdr:grpSp>
      <xdr:nvGrpSpPr>
        <xdr:cNvPr id="43" name="Grupo 42">
          <a:extLst>
            <a:ext uri="{FF2B5EF4-FFF2-40B4-BE49-F238E27FC236}">
              <a16:creationId xmlns:a16="http://schemas.microsoft.com/office/drawing/2014/main" id="{00000000-0008-0000-0200-00002B000000}"/>
            </a:ext>
          </a:extLst>
        </xdr:cNvPr>
        <xdr:cNvGrpSpPr/>
      </xdr:nvGrpSpPr>
      <xdr:grpSpPr>
        <a:xfrm>
          <a:off x="2931396" y="15499019"/>
          <a:ext cx="743220" cy="142875"/>
          <a:chOff x="3200406" y="8505825"/>
          <a:chExt cx="707492" cy="142875"/>
        </a:xfrm>
      </xdr:grpSpPr>
      <mc:AlternateContent xmlns:mc="http://schemas.openxmlformats.org/markup-compatibility/2006">
        <mc:Choice xmlns:a14="http://schemas.microsoft.com/office/drawing/2010/main" Requires="a14">
          <xdr:sp macro="" textlink="">
            <xdr:nvSpPr>
              <xdr:cNvPr id="22543" name="Casilla M HR2"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3200406" y="8505825"/>
                <a:ext cx="191048"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45" name="Conector recto 44">
            <a:extLst>
              <a:ext uri="{FF2B5EF4-FFF2-40B4-BE49-F238E27FC236}">
                <a16:creationId xmlns:a16="http://schemas.microsoft.com/office/drawing/2014/main" id="{00000000-0008-0000-0200-00002D000000}"/>
              </a:ext>
            </a:extLst>
          </xdr:cNvPr>
          <xdr:cNvCxnSpPr/>
        </xdr:nvCxnSpPr>
        <xdr:spPr>
          <a:xfrm>
            <a:off x="3666716" y="8582025"/>
            <a:ext cx="241182" cy="0"/>
          </a:xfrm>
          <a:prstGeom prst="line">
            <a:avLst/>
          </a:prstGeom>
          <a:ln w="22225">
            <a:prstDash val="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3</xdr:col>
      <xdr:colOff>728666</xdr:colOff>
      <xdr:row>80</xdr:row>
      <xdr:rowOff>28575</xdr:rowOff>
    </xdr:from>
    <xdr:to>
      <xdr:col>5</xdr:col>
      <xdr:colOff>7020</xdr:colOff>
      <xdr:row>80</xdr:row>
      <xdr:rowOff>171450</xdr:rowOff>
    </xdr:to>
    <xdr:grpSp>
      <xdr:nvGrpSpPr>
        <xdr:cNvPr id="46" name="Grupo 45">
          <a:extLst>
            <a:ext uri="{FF2B5EF4-FFF2-40B4-BE49-F238E27FC236}">
              <a16:creationId xmlns:a16="http://schemas.microsoft.com/office/drawing/2014/main" id="{00000000-0008-0000-0200-00002E000000}"/>
            </a:ext>
          </a:extLst>
        </xdr:cNvPr>
        <xdr:cNvGrpSpPr/>
      </xdr:nvGrpSpPr>
      <xdr:grpSpPr>
        <a:xfrm>
          <a:off x="3678343" y="15499019"/>
          <a:ext cx="753193" cy="142875"/>
          <a:chOff x="4000492" y="8505825"/>
          <a:chExt cx="745212" cy="142875"/>
        </a:xfrm>
      </xdr:grpSpPr>
      <mc:AlternateContent xmlns:mc="http://schemas.openxmlformats.org/markup-compatibility/2006">
        <mc:Choice xmlns:a14="http://schemas.microsoft.com/office/drawing/2010/main" Requires="a14">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4000492" y="8505825"/>
                <a:ext cx="208187"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48" name="Conector recto 47">
            <a:extLst>
              <a:ext uri="{FF2B5EF4-FFF2-40B4-BE49-F238E27FC236}">
                <a16:creationId xmlns:a16="http://schemas.microsoft.com/office/drawing/2014/main" id="{00000000-0008-0000-0200-000030000000}"/>
              </a:ext>
            </a:extLst>
          </xdr:cNvPr>
          <xdr:cNvCxnSpPr/>
        </xdr:nvCxnSpPr>
        <xdr:spPr>
          <a:xfrm>
            <a:off x="4457703" y="8582025"/>
            <a:ext cx="288001" cy="0"/>
          </a:xfrm>
          <a:prstGeom prst="line">
            <a:avLst/>
          </a:prstGeom>
          <a:ln w="22225">
            <a:prstDash val="dashDot"/>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1</xdr:col>
      <xdr:colOff>1857375</xdr:colOff>
      <xdr:row>81</xdr:row>
      <xdr:rowOff>0</xdr:rowOff>
    </xdr:from>
    <xdr:to>
      <xdr:col>2</xdr:col>
      <xdr:colOff>335625</xdr:colOff>
      <xdr:row>81</xdr:row>
      <xdr:rowOff>142875</xdr:rowOff>
    </xdr:to>
    <xdr:grpSp>
      <xdr:nvGrpSpPr>
        <xdr:cNvPr id="49" name="Grupo 48">
          <a:extLst>
            <a:ext uri="{FF2B5EF4-FFF2-40B4-BE49-F238E27FC236}">
              <a16:creationId xmlns:a16="http://schemas.microsoft.com/office/drawing/2014/main" id="{00000000-0008-0000-0200-000031000000}"/>
            </a:ext>
          </a:extLst>
        </xdr:cNvPr>
        <xdr:cNvGrpSpPr/>
      </xdr:nvGrpSpPr>
      <xdr:grpSpPr>
        <a:xfrm>
          <a:off x="2164633" y="15654798"/>
          <a:ext cx="383250" cy="142875"/>
          <a:chOff x="2447929" y="12401550"/>
          <a:chExt cx="526121" cy="142875"/>
        </a:xfrm>
      </xdr:grpSpPr>
      <xdr:cxnSp macro="">
        <xdr:nvCxnSpPr>
          <xdr:cNvPr id="50" name="Conector recto 49">
            <a:extLst>
              <a:ext uri="{FF2B5EF4-FFF2-40B4-BE49-F238E27FC236}">
                <a16:creationId xmlns:a16="http://schemas.microsoft.com/office/drawing/2014/main" id="{00000000-0008-0000-0200-000032000000}"/>
              </a:ext>
            </a:extLst>
          </xdr:cNvPr>
          <xdr:cNvCxnSpPr/>
        </xdr:nvCxnSpPr>
        <xdr:spPr>
          <a:xfrm>
            <a:off x="2686050" y="12487275"/>
            <a:ext cx="28800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mc:Choice xmlns:a14="http://schemas.microsoft.com/office/drawing/2010/main" Requires="a14">
          <xdr:sp macro="" textlink="">
            <xdr:nvSpPr>
              <xdr:cNvPr id="22545" name="Casilla M HR1" hidden="1">
                <a:extLst>
                  <a:ext uri="{63B3BB69-23CF-44E3-9099-C40C66FF867C}">
                    <a14:compatExt spid="_x0000_s22545"/>
                  </a:ext>
                  <a:ext uri="{FF2B5EF4-FFF2-40B4-BE49-F238E27FC236}">
                    <a16:creationId xmlns:a16="http://schemas.microsoft.com/office/drawing/2014/main" id="{00000000-0008-0000-0200-000011580000}"/>
                  </a:ext>
                </a:extLst>
              </xdr:cNvPr>
              <xdr:cNvSpPr/>
            </xdr:nvSpPr>
            <xdr:spPr bwMode="auto">
              <a:xfrm>
                <a:off x="2447929" y="12401550"/>
                <a:ext cx="209553"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8</xdr:col>
      <xdr:colOff>1888330</xdr:colOff>
      <xdr:row>80</xdr:row>
      <xdr:rowOff>28575</xdr:rowOff>
    </xdr:from>
    <xdr:to>
      <xdr:col>9</xdr:col>
      <xdr:colOff>667127</xdr:colOff>
      <xdr:row>80</xdr:row>
      <xdr:rowOff>171450</xdr:rowOff>
    </xdr:to>
    <xdr:grpSp>
      <xdr:nvGrpSpPr>
        <xdr:cNvPr id="52" name="Grupo 51">
          <a:extLst>
            <a:ext uri="{FF2B5EF4-FFF2-40B4-BE49-F238E27FC236}">
              <a16:creationId xmlns:a16="http://schemas.microsoft.com/office/drawing/2014/main" id="{00000000-0008-0000-0200-000034000000}"/>
            </a:ext>
          </a:extLst>
        </xdr:cNvPr>
        <xdr:cNvGrpSpPr/>
      </xdr:nvGrpSpPr>
      <xdr:grpSpPr>
        <a:xfrm>
          <a:off x="7695507" y="15499019"/>
          <a:ext cx="683797" cy="142875"/>
          <a:chOff x="2421051" y="8515350"/>
          <a:chExt cx="653140" cy="142875"/>
        </a:xfrm>
      </xdr:grpSpPr>
      <mc:AlternateContent xmlns:mc="http://schemas.openxmlformats.org/markup-compatibility/2006">
        <mc:Choice xmlns:a14="http://schemas.microsoft.com/office/drawing/2010/main" Requires="a14">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200-000012580000}"/>
                  </a:ext>
                </a:extLst>
              </xdr:cNvPr>
              <xdr:cNvSpPr/>
            </xdr:nvSpPr>
            <xdr:spPr bwMode="auto">
              <a:xfrm>
                <a:off x="2421051" y="8515350"/>
                <a:ext cx="201018"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54" name="Conector recto 53">
            <a:extLst>
              <a:ext uri="{FF2B5EF4-FFF2-40B4-BE49-F238E27FC236}">
                <a16:creationId xmlns:a16="http://schemas.microsoft.com/office/drawing/2014/main" id="{00000000-0008-0000-0200-000036000000}"/>
              </a:ext>
            </a:extLst>
          </xdr:cNvPr>
          <xdr:cNvCxnSpPr/>
        </xdr:nvCxnSpPr>
        <xdr:spPr>
          <a:xfrm>
            <a:off x="2867878" y="8591550"/>
            <a:ext cx="206313" cy="0"/>
          </a:xfrm>
          <a:prstGeom prst="line">
            <a:avLst/>
          </a:prstGeom>
          <a:ln w="22225">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671513</xdr:colOff>
      <xdr:row>80</xdr:row>
      <xdr:rowOff>28575</xdr:rowOff>
    </xdr:from>
    <xdr:to>
      <xdr:col>10</xdr:col>
      <xdr:colOff>667789</xdr:colOff>
      <xdr:row>80</xdr:row>
      <xdr:rowOff>171450</xdr:rowOff>
    </xdr:to>
    <xdr:grpSp>
      <xdr:nvGrpSpPr>
        <xdr:cNvPr id="55" name="Grupo 54">
          <a:extLst>
            <a:ext uri="{FF2B5EF4-FFF2-40B4-BE49-F238E27FC236}">
              <a16:creationId xmlns:a16="http://schemas.microsoft.com/office/drawing/2014/main" id="{00000000-0008-0000-0200-000037000000}"/>
            </a:ext>
          </a:extLst>
        </xdr:cNvPr>
        <xdr:cNvGrpSpPr/>
      </xdr:nvGrpSpPr>
      <xdr:grpSpPr>
        <a:xfrm>
          <a:off x="8383690" y="15499019"/>
          <a:ext cx="733696" cy="142875"/>
          <a:chOff x="3200412" y="8505825"/>
          <a:chExt cx="698370" cy="142875"/>
        </a:xfrm>
      </xdr:grpSpPr>
      <mc:AlternateContent xmlns:mc="http://schemas.openxmlformats.org/markup-compatibility/2006">
        <mc:Choice xmlns:a14="http://schemas.microsoft.com/office/drawing/2010/main" Requires="a14">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200-000013580000}"/>
                  </a:ext>
                </a:extLst>
              </xdr:cNvPr>
              <xdr:cNvSpPr/>
            </xdr:nvSpPr>
            <xdr:spPr bwMode="auto">
              <a:xfrm>
                <a:off x="3200412" y="8505825"/>
                <a:ext cx="191049"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57" name="Conector recto 56">
            <a:extLst>
              <a:ext uri="{FF2B5EF4-FFF2-40B4-BE49-F238E27FC236}">
                <a16:creationId xmlns:a16="http://schemas.microsoft.com/office/drawing/2014/main" id="{00000000-0008-0000-0200-000039000000}"/>
              </a:ext>
            </a:extLst>
          </xdr:cNvPr>
          <xdr:cNvCxnSpPr/>
        </xdr:nvCxnSpPr>
        <xdr:spPr>
          <a:xfrm>
            <a:off x="3657600" y="8582025"/>
            <a:ext cx="241182" cy="0"/>
          </a:xfrm>
          <a:prstGeom prst="line">
            <a:avLst/>
          </a:prstGeom>
          <a:ln w="22225">
            <a:prstDash val="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10</xdr:col>
      <xdr:colOff>700090</xdr:colOff>
      <xdr:row>80</xdr:row>
      <xdr:rowOff>28575</xdr:rowOff>
    </xdr:from>
    <xdr:to>
      <xdr:col>11</xdr:col>
      <xdr:colOff>702340</xdr:colOff>
      <xdr:row>80</xdr:row>
      <xdr:rowOff>171450</xdr:rowOff>
    </xdr:to>
    <xdr:grpSp>
      <xdr:nvGrpSpPr>
        <xdr:cNvPr id="58" name="Grupo 57">
          <a:extLst>
            <a:ext uri="{FF2B5EF4-FFF2-40B4-BE49-F238E27FC236}">
              <a16:creationId xmlns:a16="http://schemas.microsoft.com/office/drawing/2014/main" id="{00000000-0008-0000-0200-00003A000000}"/>
            </a:ext>
          </a:extLst>
        </xdr:cNvPr>
        <xdr:cNvGrpSpPr/>
      </xdr:nvGrpSpPr>
      <xdr:grpSpPr>
        <a:xfrm>
          <a:off x="9149687" y="15499019"/>
          <a:ext cx="739669" cy="142875"/>
          <a:chOff x="4000538" y="8505825"/>
          <a:chExt cx="735637" cy="142875"/>
        </a:xfrm>
      </xdr:grpSpPr>
      <mc:AlternateContent xmlns:mc="http://schemas.openxmlformats.org/markup-compatibility/2006">
        <mc:Choice xmlns:a14="http://schemas.microsoft.com/office/drawing/2010/main" Requires="a14">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200-000014580000}"/>
                  </a:ext>
                </a:extLst>
              </xdr:cNvPr>
              <xdr:cNvSpPr/>
            </xdr:nvSpPr>
            <xdr:spPr bwMode="auto">
              <a:xfrm>
                <a:off x="4000538" y="8505825"/>
                <a:ext cx="208185"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60" name="Conector recto 59">
            <a:extLst>
              <a:ext uri="{FF2B5EF4-FFF2-40B4-BE49-F238E27FC236}">
                <a16:creationId xmlns:a16="http://schemas.microsoft.com/office/drawing/2014/main" id="{00000000-0008-0000-0200-00003C000000}"/>
              </a:ext>
            </a:extLst>
          </xdr:cNvPr>
          <xdr:cNvCxnSpPr/>
        </xdr:nvCxnSpPr>
        <xdr:spPr>
          <a:xfrm>
            <a:off x="4448175" y="8582025"/>
            <a:ext cx="288000" cy="0"/>
          </a:xfrm>
          <a:prstGeom prst="line">
            <a:avLst/>
          </a:prstGeom>
          <a:ln w="22225">
            <a:prstDash val="dashDot"/>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8</xdr:col>
      <xdr:colOff>1866900</xdr:colOff>
      <xdr:row>81</xdr:row>
      <xdr:rowOff>0</xdr:rowOff>
    </xdr:from>
    <xdr:to>
      <xdr:col>9</xdr:col>
      <xdr:colOff>345150</xdr:colOff>
      <xdr:row>81</xdr:row>
      <xdr:rowOff>142875</xdr:rowOff>
    </xdr:to>
    <xdr:grpSp>
      <xdr:nvGrpSpPr>
        <xdr:cNvPr id="61" name="Grupo 60">
          <a:extLst>
            <a:ext uri="{FF2B5EF4-FFF2-40B4-BE49-F238E27FC236}">
              <a16:creationId xmlns:a16="http://schemas.microsoft.com/office/drawing/2014/main" id="{00000000-0008-0000-0200-00003D000000}"/>
            </a:ext>
          </a:extLst>
        </xdr:cNvPr>
        <xdr:cNvGrpSpPr/>
      </xdr:nvGrpSpPr>
      <xdr:grpSpPr>
        <a:xfrm>
          <a:off x="7674077" y="15654798"/>
          <a:ext cx="383250" cy="142875"/>
          <a:chOff x="2447934" y="12401550"/>
          <a:chExt cx="526116" cy="142875"/>
        </a:xfrm>
      </xdr:grpSpPr>
      <xdr:cxnSp macro="">
        <xdr:nvCxnSpPr>
          <xdr:cNvPr id="62" name="Conector recto 61">
            <a:extLst>
              <a:ext uri="{FF2B5EF4-FFF2-40B4-BE49-F238E27FC236}">
                <a16:creationId xmlns:a16="http://schemas.microsoft.com/office/drawing/2014/main" id="{00000000-0008-0000-0200-00003E000000}"/>
              </a:ext>
            </a:extLst>
          </xdr:cNvPr>
          <xdr:cNvCxnSpPr/>
        </xdr:nvCxnSpPr>
        <xdr:spPr>
          <a:xfrm>
            <a:off x="2686050" y="12487275"/>
            <a:ext cx="28800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mc:Choice xmlns:a14="http://schemas.microsoft.com/office/drawing/2010/main" Requires="a14">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200-000015580000}"/>
                  </a:ext>
                </a:extLst>
              </xdr:cNvPr>
              <xdr:cNvSpPr/>
            </xdr:nvSpPr>
            <xdr:spPr bwMode="auto">
              <a:xfrm>
                <a:off x="2447934" y="12401550"/>
                <a:ext cx="20955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1</xdr:col>
          <xdr:colOff>1095375</xdr:colOff>
          <xdr:row>91</xdr:row>
          <xdr:rowOff>161925</xdr:rowOff>
        </xdr:to>
        <xdr:sp macro="" textlink="">
          <xdr:nvSpPr>
            <xdr:cNvPr id="22550" name="CommandButton1" hidden="1">
              <a:extLst>
                <a:ext uri="{63B3BB69-23CF-44E3-9099-C40C66FF867C}">
                  <a14:compatExt spid="_x0000_s22550"/>
                </a:ext>
                <a:ext uri="{FF2B5EF4-FFF2-40B4-BE49-F238E27FC236}">
                  <a16:creationId xmlns:a16="http://schemas.microsoft.com/office/drawing/2014/main" id="{00000000-0008-0000-0200-000016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1371600</xdr:colOff>
          <xdr:row>90</xdr:row>
          <xdr:rowOff>19050</xdr:rowOff>
        </xdr:from>
        <xdr:to>
          <xdr:col>1</xdr:col>
          <xdr:colOff>1866900</xdr:colOff>
          <xdr:row>91</xdr:row>
          <xdr:rowOff>161925</xdr:rowOff>
        </xdr:to>
        <xdr:sp macro="" textlink="">
          <xdr:nvSpPr>
            <xdr:cNvPr id="22552" name="CommandButton2" hidden="1">
              <a:extLst>
                <a:ext uri="{63B3BB69-23CF-44E3-9099-C40C66FF867C}">
                  <a14:compatExt spid="_x0000_s22552"/>
                </a:ext>
                <a:ext uri="{FF2B5EF4-FFF2-40B4-BE49-F238E27FC236}">
                  <a16:creationId xmlns:a16="http://schemas.microsoft.com/office/drawing/2014/main" id="{00000000-0008-0000-0200-000018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90</xdr:row>
          <xdr:rowOff>19050</xdr:rowOff>
        </xdr:from>
        <xdr:to>
          <xdr:col>8</xdr:col>
          <xdr:colOff>1171575</xdr:colOff>
          <xdr:row>91</xdr:row>
          <xdr:rowOff>161925</xdr:rowOff>
        </xdr:to>
        <xdr:sp macro="" textlink="">
          <xdr:nvSpPr>
            <xdr:cNvPr id="22553" name="CommandButton3" hidden="1">
              <a:extLst>
                <a:ext uri="{63B3BB69-23CF-44E3-9099-C40C66FF867C}">
                  <a14:compatExt spid="_x0000_s22553"/>
                </a:ext>
                <a:ext uri="{FF2B5EF4-FFF2-40B4-BE49-F238E27FC236}">
                  <a16:creationId xmlns:a16="http://schemas.microsoft.com/office/drawing/2014/main" id="{00000000-0008-0000-0200-000019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1381125</xdr:colOff>
          <xdr:row>90</xdr:row>
          <xdr:rowOff>9525</xdr:rowOff>
        </xdr:from>
        <xdr:to>
          <xdr:col>8</xdr:col>
          <xdr:colOff>1876425</xdr:colOff>
          <xdr:row>91</xdr:row>
          <xdr:rowOff>152400</xdr:rowOff>
        </xdr:to>
        <xdr:sp macro="" textlink="">
          <xdr:nvSpPr>
            <xdr:cNvPr id="22554" name="CommandButton4" hidden="1">
              <a:extLst>
                <a:ext uri="{63B3BB69-23CF-44E3-9099-C40C66FF867C}">
                  <a14:compatExt spid="_x0000_s22554"/>
                </a:ext>
                <a:ext uri="{FF2B5EF4-FFF2-40B4-BE49-F238E27FC236}">
                  <a16:creationId xmlns:a16="http://schemas.microsoft.com/office/drawing/2014/main" id="{00000000-0008-0000-0200-00001A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36</xdr:row>
          <xdr:rowOff>95250</xdr:rowOff>
        </xdr:from>
        <xdr:to>
          <xdr:col>6</xdr:col>
          <xdr:colOff>0</xdr:colOff>
          <xdr:row>37</xdr:row>
          <xdr:rowOff>161925</xdr:rowOff>
        </xdr:to>
        <xdr:sp macro="" textlink="">
          <xdr:nvSpPr>
            <xdr:cNvPr id="22564" name="CommandButton5"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36</xdr:row>
          <xdr:rowOff>95250</xdr:rowOff>
        </xdr:from>
        <xdr:to>
          <xdr:col>13</xdr:col>
          <xdr:colOff>0</xdr:colOff>
          <xdr:row>37</xdr:row>
          <xdr:rowOff>161925</xdr:rowOff>
        </xdr:to>
        <xdr:sp macro="" textlink="">
          <xdr:nvSpPr>
            <xdr:cNvPr id="22565" name="CommandButton6"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0.01303</cdr:x>
      <cdr:y>0.13866</cdr:y>
    </cdr:from>
    <cdr:to>
      <cdr:x>0.03697</cdr:x>
      <cdr:y>0.88951</cdr:y>
    </cdr:to>
    <cdr:sp macro="" textlink="">
      <cdr:nvSpPr>
        <cdr:cNvPr id="6" name="CuadroTexto 10"/>
        <cdr:cNvSpPr txBox="1"/>
      </cdr:nvSpPr>
      <cdr:spPr>
        <a:xfrm xmlns:a="http://schemas.openxmlformats.org/drawingml/2006/main">
          <a:off x="73211"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EXTERIOR</a:t>
          </a:r>
        </a:p>
      </cdr:txBody>
    </cdr:sp>
  </cdr:relSizeAnchor>
  <cdr:relSizeAnchor xmlns:cdr="http://schemas.openxmlformats.org/drawingml/2006/chartDrawing">
    <cdr:from>
      <cdr:x>0.96066</cdr:x>
      <cdr:y>0.13866</cdr:y>
    </cdr:from>
    <cdr:to>
      <cdr:x>0.9846</cdr:x>
      <cdr:y>0.88951</cdr:y>
    </cdr:to>
    <cdr:sp macro="" textlink="">
      <cdr:nvSpPr>
        <cdr:cNvPr id="7" name="CuadroTexto 10"/>
        <cdr:cNvSpPr txBox="1"/>
      </cdr:nvSpPr>
      <cdr:spPr>
        <a:xfrm xmlns:a="http://schemas.openxmlformats.org/drawingml/2006/main">
          <a:off x="5396005"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INTERIOR</a:t>
          </a:r>
        </a:p>
      </cdr:txBody>
    </cdr:sp>
  </cdr:relSizeAnchor>
  <cdr:relSizeAnchor xmlns:cdr="http://schemas.openxmlformats.org/drawingml/2006/chartDrawing">
    <cdr:from>
      <cdr:x>0.03332</cdr:x>
      <cdr:y>0.1429</cdr:y>
    </cdr:from>
    <cdr:to>
      <cdr:x>0.94761</cdr:x>
      <cdr:y>0.1429</cdr:y>
    </cdr:to>
    <cdr:cxnSp macro="">
      <cdr:nvCxnSpPr>
        <cdr:cNvPr id="3" name="Conector recto 2">
          <a:extLst xmlns:a="http://schemas.openxmlformats.org/drawingml/2006/main">
            <a:ext uri="{FF2B5EF4-FFF2-40B4-BE49-F238E27FC236}">
              <a16:creationId xmlns:a16="http://schemas.microsoft.com/office/drawing/2014/main" id="{0E213047-3536-4786-8895-580D9C26B9C6}"/>
            </a:ext>
          </a:extLst>
        </cdr:cNvPr>
        <cdr:cNvCxnSpPr/>
      </cdr:nvCxnSpPr>
      <cdr:spPr>
        <a:xfrm xmlns:a="http://schemas.openxmlformats.org/drawingml/2006/main">
          <a:off x="161335" y="411544"/>
          <a:ext cx="4426993" cy="0"/>
        </a:xfrm>
        <a:prstGeom xmlns:a="http://schemas.openxmlformats.org/drawingml/2006/main" prst="line">
          <a:avLst/>
        </a:prstGeom>
        <a:ln xmlns:a="http://schemas.openxmlformats.org/drawingml/2006/main" w="254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0.04558</cdr:x>
      <cdr:y>0.895</cdr:y>
    </cdr:from>
    <cdr:to>
      <cdr:x>0.95987</cdr:x>
      <cdr:y>0.895</cdr:y>
    </cdr:to>
    <cdr:cxnSp macro="">
      <cdr:nvCxnSpPr>
        <cdr:cNvPr id="8" name="Conector recto 7">
          <a:extLst xmlns:a="http://schemas.openxmlformats.org/drawingml/2006/main">
            <a:ext uri="{FF2B5EF4-FFF2-40B4-BE49-F238E27FC236}">
              <a16:creationId xmlns:a16="http://schemas.microsoft.com/office/drawing/2014/main" id="{2D68EFD5-8F0D-4C52-86DD-F45677E4DF56}"/>
            </a:ext>
          </a:extLst>
        </cdr:cNvPr>
        <cdr:cNvCxnSpPr/>
      </cdr:nvCxnSpPr>
      <cdr:spPr>
        <a:xfrm xmlns:a="http://schemas.openxmlformats.org/drawingml/2006/main">
          <a:off x="229722" y="2577600"/>
          <a:ext cx="4608000" cy="0"/>
        </a:xfrm>
        <a:prstGeom xmlns:a="http://schemas.openxmlformats.org/drawingml/2006/main" prst="line">
          <a:avLst/>
        </a:prstGeom>
        <a:ln xmlns:a="http://schemas.openxmlformats.org/drawingml/2006/main" w="127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0.01303</cdr:x>
      <cdr:y>0.13866</cdr:y>
    </cdr:from>
    <cdr:to>
      <cdr:x>0.03697</cdr:x>
      <cdr:y>0.88951</cdr:y>
    </cdr:to>
    <cdr:sp macro="" textlink="">
      <cdr:nvSpPr>
        <cdr:cNvPr id="6" name="CuadroTexto 10"/>
        <cdr:cNvSpPr txBox="1"/>
      </cdr:nvSpPr>
      <cdr:spPr>
        <a:xfrm xmlns:a="http://schemas.openxmlformats.org/drawingml/2006/main">
          <a:off x="73211"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EXTERIOR</a:t>
          </a:r>
        </a:p>
      </cdr:txBody>
    </cdr:sp>
  </cdr:relSizeAnchor>
  <cdr:relSizeAnchor xmlns:cdr="http://schemas.openxmlformats.org/drawingml/2006/chartDrawing">
    <cdr:from>
      <cdr:x>0.96066</cdr:x>
      <cdr:y>0.13866</cdr:y>
    </cdr:from>
    <cdr:to>
      <cdr:x>0.9846</cdr:x>
      <cdr:y>0.88951</cdr:y>
    </cdr:to>
    <cdr:sp macro="" textlink="">
      <cdr:nvSpPr>
        <cdr:cNvPr id="7" name="CuadroTexto 10"/>
        <cdr:cNvSpPr txBox="1"/>
      </cdr:nvSpPr>
      <cdr:spPr>
        <a:xfrm xmlns:a="http://schemas.openxmlformats.org/drawingml/2006/main">
          <a:off x="5396005"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INTERIOR</a:t>
          </a:r>
        </a:p>
      </cdr:txBody>
    </cdr:sp>
  </cdr:relSizeAnchor>
  <cdr:relSizeAnchor xmlns:cdr="http://schemas.openxmlformats.org/drawingml/2006/chartDrawing">
    <cdr:from>
      <cdr:x>0.04389</cdr:x>
      <cdr:y>0.12447</cdr:y>
    </cdr:from>
    <cdr:to>
      <cdr:x>0.95162</cdr:x>
      <cdr:y>0.12447</cdr:y>
    </cdr:to>
    <cdr:cxnSp macro="">
      <cdr:nvCxnSpPr>
        <cdr:cNvPr id="3" name="Conector recto 2">
          <a:extLst xmlns:a="http://schemas.openxmlformats.org/drawingml/2006/main">
            <a:ext uri="{FF2B5EF4-FFF2-40B4-BE49-F238E27FC236}">
              <a16:creationId xmlns:a16="http://schemas.microsoft.com/office/drawing/2014/main" id="{F568BACF-B3F4-4D2E-BB54-194A52031879}"/>
            </a:ext>
          </a:extLst>
        </cdr:cNvPr>
        <cdr:cNvCxnSpPr/>
      </cdr:nvCxnSpPr>
      <cdr:spPr>
        <a:xfrm xmlns:a="http://schemas.openxmlformats.org/drawingml/2006/main">
          <a:off x="246529" y="347383"/>
          <a:ext cx="5098676" cy="0"/>
        </a:xfrm>
        <a:prstGeom xmlns:a="http://schemas.openxmlformats.org/drawingml/2006/main" prst="line">
          <a:avLst/>
        </a:prstGeom>
        <a:ln xmlns:a="http://schemas.openxmlformats.org/drawingml/2006/main" w="22225">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0.04389</cdr:x>
      <cdr:y>0.8954</cdr:y>
    </cdr:from>
    <cdr:to>
      <cdr:x>0.95162</cdr:x>
      <cdr:y>0.8954</cdr:y>
    </cdr:to>
    <cdr:cxnSp macro="">
      <cdr:nvCxnSpPr>
        <cdr:cNvPr id="8" name="Conector recto 7">
          <a:extLst xmlns:a="http://schemas.openxmlformats.org/drawingml/2006/main">
            <a:ext uri="{FF2B5EF4-FFF2-40B4-BE49-F238E27FC236}">
              <a16:creationId xmlns:a16="http://schemas.microsoft.com/office/drawing/2014/main" id="{7CC3F0EF-5FB5-4B15-81CC-501C3F3E0018}"/>
            </a:ext>
          </a:extLst>
        </cdr:cNvPr>
        <cdr:cNvCxnSpPr/>
      </cdr:nvCxnSpPr>
      <cdr:spPr>
        <a:xfrm xmlns:a="http://schemas.openxmlformats.org/drawingml/2006/main">
          <a:off x="246529" y="2498912"/>
          <a:ext cx="5098676" cy="0"/>
        </a:xfrm>
        <a:prstGeom xmlns:a="http://schemas.openxmlformats.org/drawingml/2006/main" prst="line">
          <a:avLst/>
        </a:prstGeom>
        <a:ln xmlns:a="http://schemas.openxmlformats.org/drawingml/2006/main" w="127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0.04558</cdr:x>
      <cdr:y>0.12407</cdr:y>
    </cdr:from>
    <cdr:to>
      <cdr:x>0.95272</cdr:x>
      <cdr:y>0.12407</cdr:y>
    </cdr:to>
    <cdr:cxnSp macro="">
      <cdr:nvCxnSpPr>
        <cdr:cNvPr id="3" name="Conector recto 2">
          <a:extLst xmlns:a="http://schemas.openxmlformats.org/drawingml/2006/main">
            <a:ext uri="{FF2B5EF4-FFF2-40B4-BE49-F238E27FC236}">
              <a16:creationId xmlns:a16="http://schemas.microsoft.com/office/drawing/2014/main" id="{DE6FC5DE-5576-4808-A30D-B9F44297D729}"/>
            </a:ext>
          </a:extLst>
        </cdr:cNvPr>
        <cdr:cNvCxnSpPr/>
      </cdr:nvCxnSpPr>
      <cdr:spPr>
        <a:xfrm xmlns:a="http://schemas.openxmlformats.org/drawingml/2006/main">
          <a:off x="229722" y="357322"/>
          <a:ext cx="4572000" cy="0"/>
        </a:xfrm>
        <a:prstGeom xmlns:a="http://schemas.openxmlformats.org/drawingml/2006/main" prst="line">
          <a:avLst/>
        </a:prstGeom>
        <a:ln xmlns:a="http://schemas.openxmlformats.org/drawingml/2006/main" w="190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0.01303</cdr:x>
      <cdr:y>0.13866</cdr:y>
    </cdr:from>
    <cdr:to>
      <cdr:x>0.03697</cdr:x>
      <cdr:y>0.88951</cdr:y>
    </cdr:to>
    <cdr:sp macro="" textlink="">
      <cdr:nvSpPr>
        <cdr:cNvPr id="6" name="CuadroTexto 10"/>
        <cdr:cNvSpPr txBox="1"/>
      </cdr:nvSpPr>
      <cdr:spPr>
        <a:xfrm xmlns:a="http://schemas.openxmlformats.org/drawingml/2006/main">
          <a:off x="73211"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EXTERIOR</a:t>
          </a:r>
        </a:p>
      </cdr:txBody>
    </cdr:sp>
  </cdr:relSizeAnchor>
  <cdr:relSizeAnchor xmlns:cdr="http://schemas.openxmlformats.org/drawingml/2006/chartDrawing">
    <cdr:from>
      <cdr:x>0.96066</cdr:x>
      <cdr:y>0.13866</cdr:y>
    </cdr:from>
    <cdr:to>
      <cdr:x>0.9846</cdr:x>
      <cdr:y>0.88951</cdr:y>
    </cdr:to>
    <cdr:sp macro="" textlink="">
      <cdr:nvSpPr>
        <cdr:cNvPr id="7" name="CuadroTexto 10"/>
        <cdr:cNvSpPr txBox="1"/>
      </cdr:nvSpPr>
      <cdr:spPr>
        <a:xfrm xmlns:a="http://schemas.openxmlformats.org/drawingml/2006/main">
          <a:off x="5396005"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INTERIOR</a:t>
          </a:r>
        </a:p>
      </cdr:txBody>
    </cdr:sp>
  </cdr:relSizeAnchor>
  <cdr:relSizeAnchor xmlns:cdr="http://schemas.openxmlformats.org/drawingml/2006/chartDrawing">
    <cdr:from>
      <cdr:x>0.04558</cdr:x>
      <cdr:y>0.895</cdr:y>
    </cdr:from>
    <cdr:to>
      <cdr:x>0.95272</cdr:x>
      <cdr:y>0.895</cdr:y>
    </cdr:to>
    <cdr:cxnSp macro="">
      <cdr:nvCxnSpPr>
        <cdr:cNvPr id="8" name="Conector recto 7">
          <a:extLst xmlns:a="http://schemas.openxmlformats.org/drawingml/2006/main">
            <a:ext uri="{FF2B5EF4-FFF2-40B4-BE49-F238E27FC236}">
              <a16:creationId xmlns:a16="http://schemas.microsoft.com/office/drawing/2014/main" id="{242A134C-2069-4A1A-A919-9C87936CC857}"/>
            </a:ext>
          </a:extLst>
        </cdr:cNvPr>
        <cdr:cNvCxnSpPr/>
      </cdr:nvCxnSpPr>
      <cdr:spPr>
        <a:xfrm xmlns:a="http://schemas.openxmlformats.org/drawingml/2006/main">
          <a:off x="229722" y="2577600"/>
          <a:ext cx="4572000" cy="0"/>
        </a:xfrm>
        <a:prstGeom xmlns:a="http://schemas.openxmlformats.org/drawingml/2006/main" prst="line">
          <a:avLst/>
        </a:prstGeom>
        <a:ln xmlns:a="http://schemas.openxmlformats.org/drawingml/2006/main" w="190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0.01303</cdr:x>
      <cdr:y>0.13866</cdr:y>
    </cdr:from>
    <cdr:to>
      <cdr:x>0.03697</cdr:x>
      <cdr:y>0.88951</cdr:y>
    </cdr:to>
    <cdr:sp macro="" textlink="">
      <cdr:nvSpPr>
        <cdr:cNvPr id="6" name="CuadroTexto 10"/>
        <cdr:cNvSpPr txBox="1"/>
      </cdr:nvSpPr>
      <cdr:spPr>
        <a:xfrm xmlns:a="http://schemas.openxmlformats.org/drawingml/2006/main">
          <a:off x="73211"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EXTERIOR</a:t>
          </a:r>
        </a:p>
      </cdr:txBody>
    </cdr:sp>
  </cdr:relSizeAnchor>
  <cdr:relSizeAnchor xmlns:cdr="http://schemas.openxmlformats.org/drawingml/2006/chartDrawing">
    <cdr:from>
      <cdr:x>0.96066</cdr:x>
      <cdr:y>0.13866</cdr:y>
    </cdr:from>
    <cdr:to>
      <cdr:x>0.9846</cdr:x>
      <cdr:y>0.88951</cdr:y>
    </cdr:to>
    <cdr:sp macro="" textlink="">
      <cdr:nvSpPr>
        <cdr:cNvPr id="7" name="CuadroTexto 10"/>
        <cdr:cNvSpPr txBox="1"/>
      </cdr:nvSpPr>
      <cdr:spPr>
        <a:xfrm xmlns:a="http://schemas.openxmlformats.org/drawingml/2006/main">
          <a:off x="3331929" y="278675"/>
          <a:ext cx="83033" cy="15090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INTERIOR</a:t>
          </a:r>
        </a:p>
      </cdr:txBody>
    </cdr:sp>
  </cdr:relSizeAnchor>
  <cdr:relSizeAnchor xmlns:cdr="http://schemas.openxmlformats.org/drawingml/2006/chartDrawing">
    <cdr:from>
      <cdr:x>0.04953</cdr:x>
      <cdr:y>0.89513</cdr:y>
    </cdr:from>
    <cdr:to>
      <cdr:x>0.95667</cdr:x>
      <cdr:y>0.89513</cdr:y>
    </cdr:to>
    <cdr:cxnSp macro="">
      <cdr:nvCxnSpPr>
        <cdr:cNvPr id="8" name="Conector recto 7">
          <a:extLst xmlns:a="http://schemas.openxmlformats.org/drawingml/2006/main">
            <a:ext uri="{FF2B5EF4-FFF2-40B4-BE49-F238E27FC236}">
              <a16:creationId xmlns:a16="http://schemas.microsoft.com/office/drawing/2014/main" id="{7E502C01-518F-47C0-BA78-778C019609AF}"/>
            </a:ext>
          </a:extLst>
        </cdr:cNvPr>
        <cdr:cNvCxnSpPr/>
      </cdr:nvCxnSpPr>
      <cdr:spPr>
        <a:xfrm xmlns:a="http://schemas.openxmlformats.org/drawingml/2006/main">
          <a:off x="239820" y="2577962"/>
          <a:ext cx="4392371" cy="0"/>
        </a:xfrm>
        <a:prstGeom xmlns:a="http://schemas.openxmlformats.org/drawingml/2006/main" prst="line">
          <a:avLst/>
        </a:prstGeom>
        <a:ln xmlns:a="http://schemas.openxmlformats.org/drawingml/2006/main" w="190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0.03509</cdr:x>
      <cdr:y>0.15425</cdr:y>
    </cdr:from>
    <cdr:to>
      <cdr:x>0.96448</cdr:x>
      <cdr:y>0.15425</cdr:y>
    </cdr:to>
    <cdr:cxnSp macro="">
      <cdr:nvCxnSpPr>
        <cdr:cNvPr id="4" name="Conector recto 3">
          <a:extLst xmlns:a="http://schemas.openxmlformats.org/drawingml/2006/main">
            <a:ext uri="{FF2B5EF4-FFF2-40B4-BE49-F238E27FC236}">
              <a16:creationId xmlns:a16="http://schemas.microsoft.com/office/drawing/2014/main" id="{AFBDCB9F-CCF0-4F96-9FC4-39D8F4160639}"/>
            </a:ext>
          </a:extLst>
        </cdr:cNvPr>
        <cdr:cNvCxnSpPr/>
      </cdr:nvCxnSpPr>
      <cdr:spPr>
        <a:xfrm xmlns:a="http://schemas.openxmlformats.org/drawingml/2006/main">
          <a:off x="169906" y="444248"/>
          <a:ext cx="4500106" cy="0"/>
        </a:xfrm>
        <a:prstGeom xmlns:a="http://schemas.openxmlformats.org/drawingml/2006/main" prst="line">
          <a:avLst/>
        </a:prstGeom>
        <a:ln xmlns:a="http://schemas.openxmlformats.org/drawingml/2006/main" w="190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0</xdr:col>
      <xdr:colOff>47625</xdr:colOff>
      <xdr:row>23</xdr:row>
      <xdr:rowOff>9526</xdr:rowOff>
    </xdr:from>
    <xdr:to>
      <xdr:col>0</xdr:col>
      <xdr:colOff>161925</xdr:colOff>
      <xdr:row>35</xdr:row>
      <xdr:rowOff>0</xdr:rowOff>
    </xdr:to>
    <xdr:sp macro="" textlink="">
      <xdr:nvSpPr>
        <xdr:cNvPr id="2" name="6 Flecha a la derecha con bandas">
          <a:extLst>
            <a:ext uri="{FF2B5EF4-FFF2-40B4-BE49-F238E27FC236}">
              <a16:creationId xmlns:a16="http://schemas.microsoft.com/office/drawing/2014/main" id="{00000000-0008-0000-0300-000002000000}"/>
            </a:ext>
          </a:extLst>
        </xdr:cNvPr>
        <xdr:cNvSpPr/>
      </xdr:nvSpPr>
      <xdr:spPr>
        <a:xfrm rot="16200000">
          <a:off x="-890587" y="5834063"/>
          <a:ext cx="2390774" cy="114300"/>
        </a:xfrm>
        <a:prstGeom prst="stripedRightArrow">
          <a:avLst/>
        </a:prstGeom>
        <a:gradFill flip="none" rotWithShape="1">
          <a:gsLst>
            <a:gs pos="0">
              <a:srgbClr val="FF3399">
                <a:lumMod val="98000"/>
                <a:lumOff val="2000"/>
              </a:srgbClr>
            </a:gs>
            <a:gs pos="25000">
              <a:srgbClr val="FF6633"/>
            </a:gs>
            <a:gs pos="50000">
              <a:srgbClr val="FFFF00"/>
            </a:gs>
            <a:gs pos="75000">
              <a:srgbClr val="01A78F"/>
            </a:gs>
            <a:gs pos="100000">
              <a:srgbClr val="3366FF"/>
            </a:gs>
          </a:gsLst>
          <a:lin ang="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mc:AlternateContent xmlns:mc="http://schemas.openxmlformats.org/markup-compatibility/2006">
    <mc:Choice xmlns:a14="http://schemas.microsoft.com/office/drawing/2010/main" Requires="a14">
      <xdr:twoCellAnchor editAs="oneCell">
        <xdr:from>
          <xdr:col>7</xdr:col>
          <xdr:colOff>57150</xdr:colOff>
          <xdr:row>14</xdr:row>
          <xdr:rowOff>19050</xdr:rowOff>
        </xdr:from>
        <xdr:to>
          <xdr:col>7</xdr:col>
          <xdr:colOff>276225</xdr:colOff>
          <xdr:row>14</xdr:row>
          <xdr:rowOff>190500</xdr:rowOff>
        </xdr:to>
        <xdr:sp macro="" textlink="">
          <xdr:nvSpPr>
            <xdr:cNvPr id="31745" name="Check Box 15" hidden="1">
              <a:extLst>
                <a:ext uri="{63B3BB69-23CF-44E3-9099-C40C66FF867C}">
                  <a14:compatExt spid="_x0000_s31745"/>
                </a:ext>
                <a:ext uri="{FF2B5EF4-FFF2-40B4-BE49-F238E27FC236}">
                  <a16:creationId xmlns:a16="http://schemas.microsoft.com/office/drawing/2014/main" id="{00000000-0008-0000-0300-0000017C0000}"/>
                </a:ext>
              </a:extLst>
            </xdr:cNvPr>
            <xdr:cNvSpPr/>
          </xdr:nvSpPr>
          <xdr:spPr bwMode="auto">
            <a:xfrm>
              <a:off x="0" y="0"/>
              <a:ext cx="0" cy="0"/>
            </a:xfrm>
            <a:prstGeom prst="rect">
              <a:avLst/>
            </a:prstGeom>
            <a:solidFill>
              <a:srgbClr val="DAEEF3"/>
            </a:solidFill>
            <a:ln>
              <a:noFill/>
            </a:ln>
            <a:extLs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7</xdr:col>
      <xdr:colOff>47625</xdr:colOff>
      <xdr:row>23</xdr:row>
      <xdr:rowOff>9526</xdr:rowOff>
    </xdr:from>
    <xdr:to>
      <xdr:col>7</xdr:col>
      <xdr:colOff>161925</xdr:colOff>
      <xdr:row>35</xdr:row>
      <xdr:rowOff>0</xdr:rowOff>
    </xdr:to>
    <xdr:sp macro="" textlink="">
      <xdr:nvSpPr>
        <xdr:cNvPr id="4" name="6 Flecha a la derecha con bandas">
          <a:extLst>
            <a:ext uri="{FF2B5EF4-FFF2-40B4-BE49-F238E27FC236}">
              <a16:creationId xmlns:a16="http://schemas.microsoft.com/office/drawing/2014/main" id="{00000000-0008-0000-0300-000004000000}"/>
            </a:ext>
          </a:extLst>
        </xdr:cNvPr>
        <xdr:cNvSpPr/>
      </xdr:nvSpPr>
      <xdr:spPr>
        <a:xfrm rot="16200000">
          <a:off x="4967288" y="5834063"/>
          <a:ext cx="2390774" cy="114300"/>
        </a:xfrm>
        <a:prstGeom prst="stripedRightArrow">
          <a:avLst/>
        </a:prstGeom>
        <a:gradFill flip="none" rotWithShape="1">
          <a:gsLst>
            <a:gs pos="0">
              <a:srgbClr val="FF3399"/>
            </a:gs>
            <a:gs pos="25000">
              <a:srgbClr val="FF6633"/>
            </a:gs>
            <a:gs pos="50000">
              <a:srgbClr val="FFFF00"/>
            </a:gs>
            <a:gs pos="75000">
              <a:srgbClr val="01A78F"/>
            </a:gs>
            <a:gs pos="100000">
              <a:srgbClr val="3366FF"/>
            </a:gs>
          </a:gsLst>
          <a:lin ang="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0</xdr:colOff>
      <xdr:row>47</xdr:row>
      <xdr:rowOff>9525</xdr:rowOff>
    </xdr:from>
    <xdr:to>
      <xdr:col>6</xdr:col>
      <xdr:colOff>3300</xdr:colOff>
      <xdr:row>61</xdr:row>
      <xdr:rowOff>3450</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9525</xdr:rowOff>
    </xdr:from>
    <xdr:to>
      <xdr:col>13</xdr:col>
      <xdr:colOff>3300</xdr:colOff>
      <xdr:row>61</xdr:row>
      <xdr:rowOff>3450</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65</xdr:row>
      <xdr:rowOff>0</xdr:rowOff>
    </xdr:from>
    <xdr:to>
      <xdr:col>13</xdr:col>
      <xdr:colOff>3300</xdr:colOff>
      <xdr:row>79</xdr:row>
      <xdr:rowOff>22500</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65</xdr:row>
      <xdr:rowOff>0</xdr:rowOff>
    </xdr:from>
    <xdr:to>
      <xdr:col>6</xdr:col>
      <xdr:colOff>3300</xdr:colOff>
      <xdr:row>79</xdr:row>
      <xdr:rowOff>22500</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1735938</xdr:colOff>
      <xdr:row>62</xdr:row>
      <xdr:rowOff>28575</xdr:rowOff>
    </xdr:from>
    <xdr:to>
      <xdr:col>2</xdr:col>
      <xdr:colOff>435329</xdr:colOff>
      <xdr:row>62</xdr:row>
      <xdr:rowOff>171450</xdr:rowOff>
    </xdr:to>
    <xdr:grpSp>
      <xdr:nvGrpSpPr>
        <xdr:cNvPr id="9" name="Grupo 8">
          <a:extLst>
            <a:ext uri="{FF2B5EF4-FFF2-40B4-BE49-F238E27FC236}">
              <a16:creationId xmlns:a16="http://schemas.microsoft.com/office/drawing/2014/main" id="{00000000-0008-0000-0300-000009000000}"/>
            </a:ext>
          </a:extLst>
        </xdr:cNvPr>
        <xdr:cNvGrpSpPr/>
      </xdr:nvGrpSpPr>
      <xdr:grpSpPr>
        <a:xfrm>
          <a:off x="2040738" y="12449175"/>
          <a:ext cx="604391" cy="142875"/>
          <a:chOff x="2421057" y="8515350"/>
          <a:chExt cx="598098" cy="142875"/>
        </a:xfrm>
      </xdr:grpSpPr>
      <mc:AlternateContent xmlns:mc="http://schemas.openxmlformats.org/markup-compatibility/2006">
        <mc:Choice xmlns:a14="http://schemas.microsoft.com/office/drawing/2010/main" Requires="a14">
          <xdr:sp macro="" textlink="">
            <xdr:nvSpPr>
              <xdr:cNvPr id="31746" name="Casilla Presion HR1" hidden="1">
                <a:extLst>
                  <a:ext uri="{63B3BB69-23CF-44E3-9099-C40C66FF867C}">
                    <a14:compatExt spid="_x0000_s31746"/>
                  </a:ext>
                  <a:ext uri="{FF2B5EF4-FFF2-40B4-BE49-F238E27FC236}">
                    <a16:creationId xmlns:a16="http://schemas.microsoft.com/office/drawing/2014/main" id="{00000000-0008-0000-0300-0000027C0000}"/>
                  </a:ext>
                </a:extLst>
              </xdr:cNvPr>
              <xdr:cNvSpPr/>
            </xdr:nvSpPr>
            <xdr:spPr bwMode="auto">
              <a:xfrm>
                <a:off x="2421057" y="8515350"/>
                <a:ext cx="201022"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11" name="Conector recto 10">
            <a:extLst>
              <a:ext uri="{FF2B5EF4-FFF2-40B4-BE49-F238E27FC236}">
                <a16:creationId xmlns:a16="http://schemas.microsoft.com/office/drawing/2014/main" id="{00000000-0008-0000-0300-00000B000000}"/>
              </a:ext>
            </a:extLst>
          </xdr:cNvPr>
          <xdr:cNvCxnSpPr/>
        </xdr:nvCxnSpPr>
        <xdr:spPr>
          <a:xfrm>
            <a:off x="2817460" y="8591550"/>
            <a:ext cx="201695" cy="0"/>
          </a:xfrm>
          <a:prstGeom prst="line">
            <a:avLst/>
          </a:prstGeom>
          <a:ln w="22225">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566751</xdr:colOff>
      <xdr:row>62</xdr:row>
      <xdr:rowOff>28575</xdr:rowOff>
    </xdr:from>
    <xdr:to>
      <xdr:col>3</xdr:col>
      <xdr:colOff>543978</xdr:colOff>
      <xdr:row>62</xdr:row>
      <xdr:rowOff>171450</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2776551" y="12449175"/>
          <a:ext cx="710652" cy="142875"/>
          <a:chOff x="3200397" y="8505825"/>
          <a:chExt cx="684522" cy="142875"/>
        </a:xfrm>
      </xdr:grpSpPr>
      <mc:AlternateContent xmlns:mc="http://schemas.openxmlformats.org/markup-compatibility/2006">
        <mc:Choice xmlns:a14="http://schemas.microsoft.com/office/drawing/2010/main" Requires="a14">
          <xdr:sp macro="" textlink="">
            <xdr:nvSpPr>
              <xdr:cNvPr id="31747" name="Casilla M HR2" hidden="1">
                <a:extLst>
                  <a:ext uri="{63B3BB69-23CF-44E3-9099-C40C66FF867C}">
                    <a14:compatExt spid="_x0000_s31747"/>
                  </a:ext>
                  <a:ext uri="{FF2B5EF4-FFF2-40B4-BE49-F238E27FC236}">
                    <a16:creationId xmlns:a16="http://schemas.microsoft.com/office/drawing/2014/main" id="{00000000-0008-0000-0300-0000037C0000}"/>
                  </a:ext>
                </a:extLst>
              </xdr:cNvPr>
              <xdr:cNvSpPr/>
            </xdr:nvSpPr>
            <xdr:spPr bwMode="auto">
              <a:xfrm>
                <a:off x="3200397" y="8505825"/>
                <a:ext cx="191047"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14" name="Conector recto 13">
            <a:extLst>
              <a:ext uri="{FF2B5EF4-FFF2-40B4-BE49-F238E27FC236}">
                <a16:creationId xmlns:a16="http://schemas.microsoft.com/office/drawing/2014/main" id="{00000000-0008-0000-0300-00000E000000}"/>
              </a:ext>
            </a:extLst>
          </xdr:cNvPr>
          <xdr:cNvCxnSpPr/>
        </xdr:nvCxnSpPr>
        <xdr:spPr>
          <a:xfrm>
            <a:off x="3643737" y="8582025"/>
            <a:ext cx="241182" cy="0"/>
          </a:xfrm>
          <a:prstGeom prst="line">
            <a:avLst/>
          </a:prstGeom>
          <a:ln w="22225">
            <a:prstDash val="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3</xdr:col>
      <xdr:colOff>566742</xdr:colOff>
      <xdr:row>62</xdr:row>
      <xdr:rowOff>28575</xdr:rowOff>
    </xdr:from>
    <xdr:to>
      <xdr:col>4</xdr:col>
      <xdr:colOff>588044</xdr:colOff>
      <xdr:row>62</xdr:row>
      <xdr:rowOff>171450</xdr:rowOff>
    </xdr:to>
    <xdr:grpSp>
      <xdr:nvGrpSpPr>
        <xdr:cNvPr id="15" name="Grupo 14">
          <a:extLst>
            <a:ext uri="{FF2B5EF4-FFF2-40B4-BE49-F238E27FC236}">
              <a16:creationId xmlns:a16="http://schemas.microsoft.com/office/drawing/2014/main" id="{00000000-0008-0000-0300-00000F000000}"/>
            </a:ext>
          </a:extLst>
        </xdr:cNvPr>
        <xdr:cNvGrpSpPr/>
      </xdr:nvGrpSpPr>
      <xdr:grpSpPr>
        <a:xfrm>
          <a:off x="3509967" y="12449175"/>
          <a:ext cx="754727" cy="142875"/>
          <a:chOff x="4000495" y="8505825"/>
          <a:chExt cx="754732" cy="142875"/>
        </a:xfrm>
      </xdr:grpSpPr>
      <mc:AlternateContent xmlns:mc="http://schemas.openxmlformats.org/markup-compatibility/2006">
        <mc:Choice xmlns:a14="http://schemas.microsoft.com/office/drawing/2010/main" Requires="a14">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300-0000047C0000}"/>
                  </a:ext>
                </a:extLst>
              </xdr:cNvPr>
              <xdr:cNvSpPr/>
            </xdr:nvSpPr>
            <xdr:spPr bwMode="auto">
              <a:xfrm>
                <a:off x="4000495" y="8505825"/>
                <a:ext cx="20819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17" name="Conector recto 16">
            <a:extLst>
              <a:ext uri="{FF2B5EF4-FFF2-40B4-BE49-F238E27FC236}">
                <a16:creationId xmlns:a16="http://schemas.microsoft.com/office/drawing/2014/main" id="{00000000-0008-0000-0300-000011000000}"/>
              </a:ext>
            </a:extLst>
          </xdr:cNvPr>
          <xdr:cNvCxnSpPr/>
        </xdr:nvCxnSpPr>
        <xdr:spPr>
          <a:xfrm>
            <a:off x="4467227" y="8582025"/>
            <a:ext cx="288000" cy="0"/>
          </a:xfrm>
          <a:prstGeom prst="line">
            <a:avLst/>
          </a:prstGeom>
          <a:ln w="22225">
            <a:prstDash val="dashDot"/>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1</xdr:col>
      <xdr:colOff>1752600</xdr:colOff>
      <xdr:row>63</xdr:row>
      <xdr:rowOff>0</xdr:rowOff>
    </xdr:from>
    <xdr:to>
      <xdr:col>2</xdr:col>
      <xdr:colOff>230850</xdr:colOff>
      <xdr:row>63</xdr:row>
      <xdr:rowOff>142875</xdr:rowOff>
    </xdr:to>
    <xdr:grpSp>
      <xdr:nvGrpSpPr>
        <xdr:cNvPr id="18" name="Grupo 17">
          <a:extLst>
            <a:ext uri="{FF2B5EF4-FFF2-40B4-BE49-F238E27FC236}">
              <a16:creationId xmlns:a16="http://schemas.microsoft.com/office/drawing/2014/main" id="{00000000-0008-0000-0300-000012000000}"/>
            </a:ext>
          </a:extLst>
        </xdr:cNvPr>
        <xdr:cNvGrpSpPr/>
      </xdr:nvGrpSpPr>
      <xdr:grpSpPr>
        <a:xfrm>
          <a:off x="2057400" y="12611100"/>
          <a:ext cx="383250" cy="142875"/>
          <a:chOff x="2447934" y="12401550"/>
          <a:chExt cx="526116" cy="142875"/>
        </a:xfrm>
      </xdr:grpSpPr>
      <xdr:cxnSp macro="">
        <xdr:nvCxnSpPr>
          <xdr:cNvPr id="19" name="Conector recto 18">
            <a:extLst>
              <a:ext uri="{FF2B5EF4-FFF2-40B4-BE49-F238E27FC236}">
                <a16:creationId xmlns:a16="http://schemas.microsoft.com/office/drawing/2014/main" id="{00000000-0008-0000-0300-000013000000}"/>
              </a:ext>
            </a:extLst>
          </xdr:cNvPr>
          <xdr:cNvCxnSpPr/>
        </xdr:nvCxnSpPr>
        <xdr:spPr>
          <a:xfrm>
            <a:off x="2686050" y="12487275"/>
            <a:ext cx="28800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mc:Choice xmlns:a14="http://schemas.microsoft.com/office/drawing/2010/main" Requires="a14">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300-0000057C0000}"/>
                  </a:ext>
                </a:extLst>
              </xdr:cNvPr>
              <xdr:cNvSpPr/>
            </xdr:nvSpPr>
            <xdr:spPr bwMode="auto">
              <a:xfrm>
                <a:off x="2447934" y="12401550"/>
                <a:ext cx="209554"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8</xdr:col>
      <xdr:colOff>1754987</xdr:colOff>
      <xdr:row>62</xdr:row>
      <xdr:rowOff>19050</xdr:rowOff>
    </xdr:from>
    <xdr:to>
      <xdr:col>9</xdr:col>
      <xdr:colOff>416277</xdr:colOff>
      <xdr:row>62</xdr:row>
      <xdr:rowOff>161925</xdr:rowOff>
    </xdr:to>
    <xdr:grpSp>
      <xdr:nvGrpSpPr>
        <xdr:cNvPr id="21" name="Grupo 20">
          <a:extLst>
            <a:ext uri="{FF2B5EF4-FFF2-40B4-BE49-F238E27FC236}">
              <a16:creationId xmlns:a16="http://schemas.microsoft.com/office/drawing/2014/main" id="{00000000-0008-0000-0300-000015000000}"/>
            </a:ext>
          </a:extLst>
        </xdr:cNvPr>
        <xdr:cNvGrpSpPr/>
      </xdr:nvGrpSpPr>
      <xdr:grpSpPr>
        <a:xfrm>
          <a:off x="7536662" y="12439650"/>
          <a:ext cx="566290" cy="142875"/>
          <a:chOff x="2421059" y="8515350"/>
          <a:chExt cx="567601" cy="142875"/>
        </a:xfrm>
      </xdr:grpSpPr>
      <mc:AlternateContent xmlns:mc="http://schemas.openxmlformats.org/markup-compatibility/2006">
        <mc:Choice xmlns:a14="http://schemas.microsoft.com/office/drawing/2010/main" Requires="a14">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300-0000067C0000}"/>
                  </a:ext>
                </a:extLst>
              </xdr:cNvPr>
              <xdr:cNvSpPr/>
            </xdr:nvSpPr>
            <xdr:spPr bwMode="auto">
              <a:xfrm>
                <a:off x="2421059" y="8515350"/>
                <a:ext cx="2010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23" name="Conector recto 22">
            <a:extLst>
              <a:ext uri="{FF2B5EF4-FFF2-40B4-BE49-F238E27FC236}">
                <a16:creationId xmlns:a16="http://schemas.microsoft.com/office/drawing/2014/main" id="{00000000-0008-0000-0300-000017000000}"/>
              </a:ext>
            </a:extLst>
          </xdr:cNvPr>
          <xdr:cNvCxnSpPr/>
        </xdr:nvCxnSpPr>
        <xdr:spPr>
          <a:xfrm>
            <a:off x="2786965" y="8591550"/>
            <a:ext cx="201695" cy="0"/>
          </a:xfrm>
          <a:prstGeom prst="line">
            <a:avLst/>
          </a:prstGeom>
          <a:ln w="22225">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576263</xdr:colOff>
      <xdr:row>62</xdr:row>
      <xdr:rowOff>28575</xdr:rowOff>
    </xdr:from>
    <xdr:to>
      <xdr:col>10</xdr:col>
      <xdr:colOff>563014</xdr:colOff>
      <xdr:row>62</xdr:row>
      <xdr:rowOff>171450</xdr:rowOff>
    </xdr:to>
    <xdr:grpSp>
      <xdr:nvGrpSpPr>
        <xdr:cNvPr id="24" name="Grupo 23">
          <a:extLst>
            <a:ext uri="{FF2B5EF4-FFF2-40B4-BE49-F238E27FC236}">
              <a16:creationId xmlns:a16="http://schemas.microsoft.com/office/drawing/2014/main" id="{00000000-0008-0000-0300-000018000000}"/>
            </a:ext>
          </a:extLst>
        </xdr:cNvPr>
        <xdr:cNvGrpSpPr/>
      </xdr:nvGrpSpPr>
      <xdr:grpSpPr>
        <a:xfrm>
          <a:off x="8262938" y="12449175"/>
          <a:ext cx="720176" cy="142875"/>
          <a:chOff x="3200407" y="8505825"/>
          <a:chExt cx="689259" cy="142875"/>
        </a:xfrm>
      </xdr:grpSpPr>
      <mc:AlternateContent xmlns:mc="http://schemas.openxmlformats.org/markup-compatibility/2006">
        <mc:Choice xmlns:a14="http://schemas.microsoft.com/office/drawing/2010/main" Requires="a14">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300-0000077C0000}"/>
                  </a:ext>
                </a:extLst>
              </xdr:cNvPr>
              <xdr:cNvSpPr/>
            </xdr:nvSpPr>
            <xdr:spPr bwMode="auto">
              <a:xfrm>
                <a:off x="3200407" y="8505825"/>
                <a:ext cx="191052"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26" name="Conector recto 25">
            <a:extLst>
              <a:ext uri="{FF2B5EF4-FFF2-40B4-BE49-F238E27FC236}">
                <a16:creationId xmlns:a16="http://schemas.microsoft.com/office/drawing/2014/main" id="{00000000-0008-0000-0300-00001A000000}"/>
              </a:ext>
            </a:extLst>
          </xdr:cNvPr>
          <xdr:cNvCxnSpPr/>
        </xdr:nvCxnSpPr>
        <xdr:spPr>
          <a:xfrm>
            <a:off x="3648484" y="8582025"/>
            <a:ext cx="241182" cy="0"/>
          </a:xfrm>
          <a:prstGeom prst="line">
            <a:avLst/>
          </a:prstGeom>
          <a:ln w="22225">
            <a:prstDash val="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10</xdr:col>
      <xdr:colOff>566741</xdr:colOff>
      <xdr:row>62</xdr:row>
      <xdr:rowOff>28575</xdr:rowOff>
    </xdr:from>
    <xdr:to>
      <xdr:col>11</xdr:col>
      <xdr:colOff>578517</xdr:colOff>
      <xdr:row>62</xdr:row>
      <xdr:rowOff>171450</xdr:rowOff>
    </xdr:to>
    <xdr:grpSp>
      <xdr:nvGrpSpPr>
        <xdr:cNvPr id="27" name="Grupo 26">
          <a:extLst>
            <a:ext uri="{FF2B5EF4-FFF2-40B4-BE49-F238E27FC236}">
              <a16:creationId xmlns:a16="http://schemas.microsoft.com/office/drawing/2014/main" id="{00000000-0008-0000-0300-00001B000000}"/>
            </a:ext>
          </a:extLst>
        </xdr:cNvPr>
        <xdr:cNvGrpSpPr/>
      </xdr:nvGrpSpPr>
      <xdr:grpSpPr>
        <a:xfrm>
          <a:off x="8986841" y="12449175"/>
          <a:ext cx="745201" cy="142875"/>
          <a:chOff x="4000500" y="8505825"/>
          <a:chExt cx="745201" cy="142875"/>
        </a:xfrm>
      </xdr:grpSpPr>
      <mc:AlternateContent xmlns:mc="http://schemas.openxmlformats.org/markup-compatibility/2006">
        <mc:Choice xmlns:a14="http://schemas.microsoft.com/office/drawing/2010/main" Requires="a14">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300-0000087C0000}"/>
                  </a:ext>
                </a:extLst>
              </xdr:cNvPr>
              <xdr:cNvSpPr/>
            </xdr:nvSpPr>
            <xdr:spPr bwMode="auto">
              <a:xfrm>
                <a:off x="4000500" y="8505825"/>
                <a:ext cx="208192"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29" name="Conector recto 28">
            <a:extLst>
              <a:ext uri="{FF2B5EF4-FFF2-40B4-BE49-F238E27FC236}">
                <a16:creationId xmlns:a16="http://schemas.microsoft.com/office/drawing/2014/main" id="{00000000-0008-0000-0300-00001D000000}"/>
              </a:ext>
            </a:extLst>
          </xdr:cNvPr>
          <xdr:cNvCxnSpPr/>
        </xdr:nvCxnSpPr>
        <xdr:spPr>
          <a:xfrm>
            <a:off x="4457701" y="8582025"/>
            <a:ext cx="288000" cy="0"/>
          </a:xfrm>
          <a:prstGeom prst="line">
            <a:avLst/>
          </a:prstGeom>
          <a:ln w="22225">
            <a:prstDash val="dashDot"/>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8</xdr:col>
      <xdr:colOff>1762125</xdr:colOff>
      <xdr:row>63</xdr:row>
      <xdr:rowOff>0</xdr:rowOff>
    </xdr:from>
    <xdr:to>
      <xdr:col>9</xdr:col>
      <xdr:colOff>240375</xdr:colOff>
      <xdr:row>63</xdr:row>
      <xdr:rowOff>142875</xdr:rowOff>
    </xdr:to>
    <xdr:grpSp>
      <xdr:nvGrpSpPr>
        <xdr:cNvPr id="30" name="Grupo 29">
          <a:extLst>
            <a:ext uri="{FF2B5EF4-FFF2-40B4-BE49-F238E27FC236}">
              <a16:creationId xmlns:a16="http://schemas.microsoft.com/office/drawing/2014/main" id="{00000000-0008-0000-0300-00001E000000}"/>
            </a:ext>
          </a:extLst>
        </xdr:cNvPr>
        <xdr:cNvGrpSpPr/>
      </xdr:nvGrpSpPr>
      <xdr:grpSpPr>
        <a:xfrm>
          <a:off x="7543800" y="12611100"/>
          <a:ext cx="383250" cy="142875"/>
          <a:chOff x="2447934" y="12401550"/>
          <a:chExt cx="526116" cy="142875"/>
        </a:xfrm>
      </xdr:grpSpPr>
      <xdr:cxnSp macro="">
        <xdr:nvCxnSpPr>
          <xdr:cNvPr id="31" name="Conector recto 30">
            <a:extLst>
              <a:ext uri="{FF2B5EF4-FFF2-40B4-BE49-F238E27FC236}">
                <a16:creationId xmlns:a16="http://schemas.microsoft.com/office/drawing/2014/main" id="{00000000-0008-0000-0300-00001F000000}"/>
              </a:ext>
            </a:extLst>
          </xdr:cNvPr>
          <xdr:cNvCxnSpPr/>
        </xdr:nvCxnSpPr>
        <xdr:spPr>
          <a:xfrm>
            <a:off x="2686050" y="12487275"/>
            <a:ext cx="28800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mc:Choice xmlns:a14="http://schemas.microsoft.com/office/drawing/2010/main" Requires="a14">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300-0000097C0000}"/>
                  </a:ext>
                </a:extLst>
              </xdr:cNvPr>
              <xdr:cNvSpPr/>
            </xdr:nvSpPr>
            <xdr:spPr bwMode="auto">
              <a:xfrm>
                <a:off x="2447934" y="12401550"/>
                <a:ext cx="20955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1</xdr:col>
      <xdr:colOff>1745453</xdr:colOff>
      <xdr:row>80</xdr:row>
      <xdr:rowOff>19050</xdr:rowOff>
    </xdr:from>
    <xdr:to>
      <xdr:col>2</xdr:col>
      <xdr:colOff>543300</xdr:colOff>
      <xdr:row>80</xdr:row>
      <xdr:rowOff>161925</xdr:rowOff>
    </xdr:to>
    <xdr:grpSp>
      <xdr:nvGrpSpPr>
        <xdr:cNvPr id="33" name="Grupo 32">
          <a:extLst>
            <a:ext uri="{FF2B5EF4-FFF2-40B4-BE49-F238E27FC236}">
              <a16:creationId xmlns:a16="http://schemas.microsoft.com/office/drawing/2014/main" id="{00000000-0008-0000-0300-000021000000}"/>
            </a:ext>
          </a:extLst>
        </xdr:cNvPr>
        <xdr:cNvGrpSpPr/>
      </xdr:nvGrpSpPr>
      <xdr:grpSpPr>
        <a:xfrm>
          <a:off x="2050253" y="15773400"/>
          <a:ext cx="702847" cy="142875"/>
          <a:chOff x="2421070" y="8515350"/>
          <a:chExt cx="671317" cy="142875"/>
        </a:xfrm>
      </xdr:grpSpPr>
      <mc:AlternateContent xmlns:mc="http://schemas.openxmlformats.org/markup-compatibility/2006">
        <mc:Choice xmlns:a14="http://schemas.microsoft.com/office/drawing/2010/main" Requires="a14">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300-00000A7C0000}"/>
                  </a:ext>
                </a:extLst>
              </xdr:cNvPr>
              <xdr:cNvSpPr/>
            </xdr:nvSpPr>
            <xdr:spPr bwMode="auto">
              <a:xfrm>
                <a:off x="2421070" y="8515350"/>
                <a:ext cx="201021"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35" name="Conector recto 34">
            <a:extLst>
              <a:ext uri="{FF2B5EF4-FFF2-40B4-BE49-F238E27FC236}">
                <a16:creationId xmlns:a16="http://schemas.microsoft.com/office/drawing/2014/main" id="{00000000-0008-0000-0300-000023000000}"/>
              </a:ext>
            </a:extLst>
          </xdr:cNvPr>
          <xdr:cNvCxnSpPr/>
        </xdr:nvCxnSpPr>
        <xdr:spPr>
          <a:xfrm>
            <a:off x="2886074" y="8591550"/>
            <a:ext cx="206313" cy="0"/>
          </a:xfrm>
          <a:prstGeom prst="line">
            <a:avLst/>
          </a:prstGeom>
          <a:ln w="22225">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566738</xdr:colOff>
      <xdr:row>80</xdr:row>
      <xdr:rowOff>28575</xdr:rowOff>
    </xdr:from>
    <xdr:to>
      <xdr:col>3</xdr:col>
      <xdr:colOff>572539</xdr:colOff>
      <xdr:row>80</xdr:row>
      <xdr:rowOff>171450</xdr:rowOff>
    </xdr:to>
    <xdr:grpSp>
      <xdr:nvGrpSpPr>
        <xdr:cNvPr id="36" name="Grupo 35">
          <a:extLst>
            <a:ext uri="{FF2B5EF4-FFF2-40B4-BE49-F238E27FC236}">
              <a16:creationId xmlns:a16="http://schemas.microsoft.com/office/drawing/2014/main" id="{00000000-0008-0000-0300-000024000000}"/>
            </a:ext>
          </a:extLst>
        </xdr:cNvPr>
        <xdr:cNvGrpSpPr/>
      </xdr:nvGrpSpPr>
      <xdr:grpSpPr>
        <a:xfrm>
          <a:off x="2776538" y="15782925"/>
          <a:ext cx="739226" cy="142875"/>
          <a:chOff x="3200406" y="8505825"/>
          <a:chExt cx="707492" cy="142875"/>
        </a:xfrm>
      </xdr:grpSpPr>
      <mc:AlternateContent xmlns:mc="http://schemas.openxmlformats.org/markup-compatibility/2006">
        <mc:Choice xmlns:a14="http://schemas.microsoft.com/office/drawing/2010/main" Requires="a14">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300-00000B7C0000}"/>
                  </a:ext>
                </a:extLst>
              </xdr:cNvPr>
              <xdr:cNvSpPr/>
            </xdr:nvSpPr>
            <xdr:spPr bwMode="auto">
              <a:xfrm>
                <a:off x="3200406" y="8505825"/>
                <a:ext cx="191048"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38" name="Conector recto 37">
            <a:extLst>
              <a:ext uri="{FF2B5EF4-FFF2-40B4-BE49-F238E27FC236}">
                <a16:creationId xmlns:a16="http://schemas.microsoft.com/office/drawing/2014/main" id="{00000000-0008-0000-0300-000026000000}"/>
              </a:ext>
            </a:extLst>
          </xdr:cNvPr>
          <xdr:cNvCxnSpPr/>
        </xdr:nvCxnSpPr>
        <xdr:spPr>
          <a:xfrm>
            <a:off x="3666716" y="8582025"/>
            <a:ext cx="241182" cy="0"/>
          </a:xfrm>
          <a:prstGeom prst="line">
            <a:avLst/>
          </a:prstGeom>
          <a:ln w="22225">
            <a:prstDash val="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3</xdr:col>
      <xdr:colOff>566741</xdr:colOff>
      <xdr:row>80</xdr:row>
      <xdr:rowOff>28575</xdr:rowOff>
    </xdr:from>
    <xdr:to>
      <xdr:col>4</xdr:col>
      <xdr:colOff>578520</xdr:colOff>
      <xdr:row>80</xdr:row>
      <xdr:rowOff>171450</xdr:rowOff>
    </xdr:to>
    <xdr:grpSp>
      <xdr:nvGrpSpPr>
        <xdr:cNvPr id="39" name="Grupo 38">
          <a:extLst>
            <a:ext uri="{FF2B5EF4-FFF2-40B4-BE49-F238E27FC236}">
              <a16:creationId xmlns:a16="http://schemas.microsoft.com/office/drawing/2014/main" id="{00000000-0008-0000-0300-000027000000}"/>
            </a:ext>
          </a:extLst>
        </xdr:cNvPr>
        <xdr:cNvGrpSpPr/>
      </xdr:nvGrpSpPr>
      <xdr:grpSpPr>
        <a:xfrm>
          <a:off x="3509966" y="15782925"/>
          <a:ext cx="745204" cy="142875"/>
          <a:chOff x="4000480" y="8505825"/>
          <a:chExt cx="745224" cy="142875"/>
        </a:xfrm>
      </xdr:grpSpPr>
      <mc:AlternateContent xmlns:mc="http://schemas.openxmlformats.org/markup-compatibility/2006">
        <mc:Choice xmlns:a14="http://schemas.microsoft.com/office/drawing/2010/main" Requires="a14">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300-00000C7C0000}"/>
                  </a:ext>
                </a:extLst>
              </xdr:cNvPr>
              <xdr:cNvSpPr/>
            </xdr:nvSpPr>
            <xdr:spPr bwMode="auto">
              <a:xfrm>
                <a:off x="4000480" y="8505825"/>
                <a:ext cx="208188"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41" name="Conector recto 40">
            <a:extLst>
              <a:ext uri="{FF2B5EF4-FFF2-40B4-BE49-F238E27FC236}">
                <a16:creationId xmlns:a16="http://schemas.microsoft.com/office/drawing/2014/main" id="{00000000-0008-0000-0300-000029000000}"/>
              </a:ext>
            </a:extLst>
          </xdr:cNvPr>
          <xdr:cNvCxnSpPr/>
        </xdr:nvCxnSpPr>
        <xdr:spPr>
          <a:xfrm>
            <a:off x="4457703" y="8582025"/>
            <a:ext cx="288001" cy="0"/>
          </a:xfrm>
          <a:prstGeom prst="line">
            <a:avLst/>
          </a:prstGeom>
          <a:ln w="22225">
            <a:prstDash val="dashDot"/>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1</xdr:col>
      <xdr:colOff>1743075</xdr:colOff>
      <xdr:row>81</xdr:row>
      <xdr:rowOff>0</xdr:rowOff>
    </xdr:from>
    <xdr:to>
      <xdr:col>2</xdr:col>
      <xdr:colOff>221325</xdr:colOff>
      <xdr:row>81</xdr:row>
      <xdr:rowOff>142875</xdr:rowOff>
    </xdr:to>
    <xdr:grpSp>
      <xdr:nvGrpSpPr>
        <xdr:cNvPr id="42" name="Grupo 41">
          <a:extLst>
            <a:ext uri="{FF2B5EF4-FFF2-40B4-BE49-F238E27FC236}">
              <a16:creationId xmlns:a16="http://schemas.microsoft.com/office/drawing/2014/main" id="{00000000-0008-0000-0300-00002A000000}"/>
            </a:ext>
          </a:extLst>
        </xdr:cNvPr>
        <xdr:cNvGrpSpPr/>
      </xdr:nvGrpSpPr>
      <xdr:grpSpPr>
        <a:xfrm>
          <a:off x="2047875" y="15944850"/>
          <a:ext cx="383250" cy="142875"/>
          <a:chOff x="2447934" y="12401550"/>
          <a:chExt cx="526116" cy="142875"/>
        </a:xfrm>
      </xdr:grpSpPr>
      <xdr:cxnSp macro="">
        <xdr:nvCxnSpPr>
          <xdr:cNvPr id="43" name="Conector recto 42">
            <a:extLst>
              <a:ext uri="{FF2B5EF4-FFF2-40B4-BE49-F238E27FC236}">
                <a16:creationId xmlns:a16="http://schemas.microsoft.com/office/drawing/2014/main" id="{00000000-0008-0000-0300-00002B000000}"/>
              </a:ext>
            </a:extLst>
          </xdr:cNvPr>
          <xdr:cNvCxnSpPr/>
        </xdr:nvCxnSpPr>
        <xdr:spPr>
          <a:xfrm>
            <a:off x="2686050" y="12487275"/>
            <a:ext cx="28800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mc:Choice xmlns:a14="http://schemas.microsoft.com/office/drawing/2010/main" Requires="a14">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300-00000D7C0000}"/>
                  </a:ext>
                </a:extLst>
              </xdr:cNvPr>
              <xdr:cNvSpPr/>
            </xdr:nvSpPr>
            <xdr:spPr bwMode="auto">
              <a:xfrm>
                <a:off x="2447934" y="12401550"/>
                <a:ext cx="209554"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8</xdr:col>
      <xdr:colOff>1745455</xdr:colOff>
      <xdr:row>80</xdr:row>
      <xdr:rowOff>28575</xdr:rowOff>
    </xdr:from>
    <xdr:to>
      <xdr:col>9</xdr:col>
      <xdr:colOff>524252</xdr:colOff>
      <xdr:row>80</xdr:row>
      <xdr:rowOff>171450</xdr:rowOff>
    </xdr:to>
    <xdr:grpSp>
      <xdr:nvGrpSpPr>
        <xdr:cNvPr id="45" name="Grupo 44">
          <a:extLst>
            <a:ext uri="{FF2B5EF4-FFF2-40B4-BE49-F238E27FC236}">
              <a16:creationId xmlns:a16="http://schemas.microsoft.com/office/drawing/2014/main" id="{00000000-0008-0000-0300-00002D000000}"/>
            </a:ext>
          </a:extLst>
        </xdr:cNvPr>
        <xdr:cNvGrpSpPr/>
      </xdr:nvGrpSpPr>
      <xdr:grpSpPr>
        <a:xfrm>
          <a:off x="7527130" y="15782925"/>
          <a:ext cx="683797" cy="142875"/>
          <a:chOff x="2421049" y="8515350"/>
          <a:chExt cx="653142" cy="142875"/>
        </a:xfrm>
      </xdr:grpSpPr>
      <mc:AlternateContent xmlns:mc="http://schemas.openxmlformats.org/markup-compatibility/2006">
        <mc:Choice xmlns:a14="http://schemas.microsoft.com/office/drawing/2010/main" Requires="a14">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300-00000E7C0000}"/>
                  </a:ext>
                </a:extLst>
              </xdr:cNvPr>
              <xdr:cNvSpPr/>
            </xdr:nvSpPr>
            <xdr:spPr bwMode="auto">
              <a:xfrm>
                <a:off x="2421049" y="8515350"/>
                <a:ext cx="201018"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47" name="Conector recto 46">
            <a:extLst>
              <a:ext uri="{FF2B5EF4-FFF2-40B4-BE49-F238E27FC236}">
                <a16:creationId xmlns:a16="http://schemas.microsoft.com/office/drawing/2014/main" id="{00000000-0008-0000-0300-00002F000000}"/>
              </a:ext>
            </a:extLst>
          </xdr:cNvPr>
          <xdr:cNvCxnSpPr/>
        </xdr:nvCxnSpPr>
        <xdr:spPr>
          <a:xfrm>
            <a:off x="2867878" y="8591550"/>
            <a:ext cx="206313" cy="0"/>
          </a:xfrm>
          <a:prstGeom prst="line">
            <a:avLst/>
          </a:prstGeom>
          <a:ln w="22225">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566738</xdr:colOff>
      <xdr:row>80</xdr:row>
      <xdr:rowOff>28575</xdr:rowOff>
    </xdr:from>
    <xdr:to>
      <xdr:col>10</xdr:col>
      <xdr:colOff>563014</xdr:colOff>
      <xdr:row>80</xdr:row>
      <xdr:rowOff>171450</xdr:rowOff>
    </xdr:to>
    <xdr:grpSp>
      <xdr:nvGrpSpPr>
        <xdr:cNvPr id="48" name="Grupo 47">
          <a:extLst>
            <a:ext uri="{FF2B5EF4-FFF2-40B4-BE49-F238E27FC236}">
              <a16:creationId xmlns:a16="http://schemas.microsoft.com/office/drawing/2014/main" id="{00000000-0008-0000-0300-000030000000}"/>
            </a:ext>
          </a:extLst>
        </xdr:cNvPr>
        <xdr:cNvGrpSpPr/>
      </xdr:nvGrpSpPr>
      <xdr:grpSpPr>
        <a:xfrm>
          <a:off x="8253413" y="15782925"/>
          <a:ext cx="729701" cy="142875"/>
          <a:chOff x="3200424" y="8505825"/>
          <a:chExt cx="698358" cy="142875"/>
        </a:xfrm>
      </xdr:grpSpPr>
      <mc:AlternateContent xmlns:mc="http://schemas.openxmlformats.org/markup-compatibility/2006">
        <mc:Choice xmlns:a14="http://schemas.microsoft.com/office/drawing/2010/main" Requires="a14">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300-00000F7C0000}"/>
                  </a:ext>
                </a:extLst>
              </xdr:cNvPr>
              <xdr:cNvSpPr/>
            </xdr:nvSpPr>
            <xdr:spPr bwMode="auto">
              <a:xfrm>
                <a:off x="3200424" y="8505825"/>
                <a:ext cx="191048"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50" name="Conector recto 49">
            <a:extLst>
              <a:ext uri="{FF2B5EF4-FFF2-40B4-BE49-F238E27FC236}">
                <a16:creationId xmlns:a16="http://schemas.microsoft.com/office/drawing/2014/main" id="{00000000-0008-0000-0300-000032000000}"/>
              </a:ext>
            </a:extLst>
          </xdr:cNvPr>
          <xdr:cNvCxnSpPr/>
        </xdr:nvCxnSpPr>
        <xdr:spPr>
          <a:xfrm>
            <a:off x="3657600" y="8582025"/>
            <a:ext cx="241182" cy="0"/>
          </a:xfrm>
          <a:prstGeom prst="line">
            <a:avLst/>
          </a:prstGeom>
          <a:ln w="22225">
            <a:prstDash val="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10</xdr:col>
      <xdr:colOff>566740</xdr:colOff>
      <xdr:row>80</xdr:row>
      <xdr:rowOff>28575</xdr:rowOff>
    </xdr:from>
    <xdr:to>
      <xdr:col>11</xdr:col>
      <xdr:colOff>568990</xdr:colOff>
      <xdr:row>80</xdr:row>
      <xdr:rowOff>171450</xdr:rowOff>
    </xdr:to>
    <xdr:grpSp>
      <xdr:nvGrpSpPr>
        <xdr:cNvPr id="51" name="Grupo 50">
          <a:extLst>
            <a:ext uri="{FF2B5EF4-FFF2-40B4-BE49-F238E27FC236}">
              <a16:creationId xmlns:a16="http://schemas.microsoft.com/office/drawing/2014/main" id="{00000000-0008-0000-0300-000033000000}"/>
            </a:ext>
          </a:extLst>
        </xdr:cNvPr>
        <xdr:cNvGrpSpPr/>
      </xdr:nvGrpSpPr>
      <xdr:grpSpPr>
        <a:xfrm>
          <a:off x="8986840" y="15782925"/>
          <a:ext cx="735675" cy="142875"/>
          <a:chOff x="4000546" y="8505825"/>
          <a:chExt cx="735629" cy="142875"/>
        </a:xfrm>
      </xdr:grpSpPr>
      <mc:AlternateContent xmlns:mc="http://schemas.openxmlformats.org/markup-compatibility/2006">
        <mc:Choice xmlns:a14="http://schemas.microsoft.com/office/drawing/2010/main" Requires="a14">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0300-0000107C0000}"/>
                  </a:ext>
                </a:extLst>
              </xdr:cNvPr>
              <xdr:cNvSpPr/>
            </xdr:nvSpPr>
            <xdr:spPr bwMode="auto">
              <a:xfrm>
                <a:off x="4000546" y="8505825"/>
                <a:ext cx="208192"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cxnSp macro="">
        <xdr:nvCxnSpPr>
          <xdr:cNvPr id="53" name="Conector recto 52">
            <a:extLst>
              <a:ext uri="{FF2B5EF4-FFF2-40B4-BE49-F238E27FC236}">
                <a16:creationId xmlns:a16="http://schemas.microsoft.com/office/drawing/2014/main" id="{00000000-0008-0000-0300-000035000000}"/>
              </a:ext>
            </a:extLst>
          </xdr:cNvPr>
          <xdr:cNvCxnSpPr/>
        </xdr:nvCxnSpPr>
        <xdr:spPr>
          <a:xfrm>
            <a:off x="4448175" y="8582025"/>
            <a:ext cx="288000" cy="0"/>
          </a:xfrm>
          <a:prstGeom prst="line">
            <a:avLst/>
          </a:prstGeom>
          <a:ln w="22225">
            <a:prstDash val="dashDot"/>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8</xdr:col>
      <xdr:colOff>1752600</xdr:colOff>
      <xdr:row>81</xdr:row>
      <xdr:rowOff>0</xdr:rowOff>
    </xdr:from>
    <xdr:to>
      <xdr:col>9</xdr:col>
      <xdr:colOff>230850</xdr:colOff>
      <xdr:row>81</xdr:row>
      <xdr:rowOff>142875</xdr:rowOff>
    </xdr:to>
    <xdr:grpSp>
      <xdr:nvGrpSpPr>
        <xdr:cNvPr id="54" name="Grupo 53">
          <a:extLst>
            <a:ext uri="{FF2B5EF4-FFF2-40B4-BE49-F238E27FC236}">
              <a16:creationId xmlns:a16="http://schemas.microsoft.com/office/drawing/2014/main" id="{00000000-0008-0000-0300-000036000000}"/>
            </a:ext>
          </a:extLst>
        </xdr:cNvPr>
        <xdr:cNvGrpSpPr/>
      </xdr:nvGrpSpPr>
      <xdr:grpSpPr>
        <a:xfrm>
          <a:off x="7534275" y="15944850"/>
          <a:ext cx="383250" cy="142875"/>
          <a:chOff x="2447934" y="12401550"/>
          <a:chExt cx="526116" cy="142875"/>
        </a:xfrm>
      </xdr:grpSpPr>
      <xdr:cxnSp macro="">
        <xdr:nvCxnSpPr>
          <xdr:cNvPr id="55" name="Conector recto 54">
            <a:extLst>
              <a:ext uri="{FF2B5EF4-FFF2-40B4-BE49-F238E27FC236}">
                <a16:creationId xmlns:a16="http://schemas.microsoft.com/office/drawing/2014/main" id="{00000000-0008-0000-0300-000037000000}"/>
              </a:ext>
            </a:extLst>
          </xdr:cNvPr>
          <xdr:cNvCxnSpPr/>
        </xdr:nvCxnSpPr>
        <xdr:spPr>
          <a:xfrm>
            <a:off x="2686050" y="12487275"/>
            <a:ext cx="28800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mc:Choice xmlns:a14="http://schemas.microsoft.com/office/drawing/2010/main" Requires="a14">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300-0000117C0000}"/>
                  </a:ext>
                </a:extLst>
              </xdr:cNvPr>
              <xdr:cNvSpPr/>
            </xdr:nvSpPr>
            <xdr:spPr bwMode="auto">
              <a:xfrm>
                <a:off x="2447934" y="12401550"/>
                <a:ext cx="20955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1</xdr:col>
          <xdr:colOff>1143000</xdr:colOff>
          <xdr:row>91</xdr:row>
          <xdr:rowOff>180975</xdr:rowOff>
        </xdr:to>
        <xdr:sp macro="" textlink="">
          <xdr:nvSpPr>
            <xdr:cNvPr id="31762" name="CommandButton1" hidden="1">
              <a:extLst>
                <a:ext uri="{63B3BB69-23CF-44E3-9099-C40C66FF867C}">
                  <a14:compatExt spid="_x0000_s31762"/>
                </a:ext>
                <a:ext uri="{FF2B5EF4-FFF2-40B4-BE49-F238E27FC236}">
                  <a16:creationId xmlns:a16="http://schemas.microsoft.com/office/drawing/2014/main" id="{00000000-0008-0000-0300-000012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1371600</xdr:colOff>
          <xdr:row>90</xdr:row>
          <xdr:rowOff>28575</xdr:rowOff>
        </xdr:from>
        <xdr:to>
          <xdr:col>1</xdr:col>
          <xdr:colOff>1866900</xdr:colOff>
          <xdr:row>91</xdr:row>
          <xdr:rowOff>171450</xdr:rowOff>
        </xdr:to>
        <xdr:sp macro="" textlink="">
          <xdr:nvSpPr>
            <xdr:cNvPr id="31763" name="CommandButton2" hidden="1">
              <a:extLst>
                <a:ext uri="{63B3BB69-23CF-44E3-9099-C40C66FF867C}">
                  <a14:compatExt spid="_x0000_s31763"/>
                </a:ext>
                <a:ext uri="{FF2B5EF4-FFF2-40B4-BE49-F238E27FC236}">
                  <a16:creationId xmlns:a16="http://schemas.microsoft.com/office/drawing/2014/main" id="{00000000-0008-0000-0300-000013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90</xdr:row>
          <xdr:rowOff>19050</xdr:rowOff>
        </xdr:from>
        <xdr:to>
          <xdr:col>8</xdr:col>
          <xdr:colOff>1190625</xdr:colOff>
          <xdr:row>91</xdr:row>
          <xdr:rowOff>180975</xdr:rowOff>
        </xdr:to>
        <xdr:sp macro="" textlink="">
          <xdr:nvSpPr>
            <xdr:cNvPr id="31764" name="CommandButton3" hidden="1">
              <a:extLst>
                <a:ext uri="{63B3BB69-23CF-44E3-9099-C40C66FF867C}">
                  <a14:compatExt spid="_x0000_s31764"/>
                </a:ext>
                <a:ext uri="{FF2B5EF4-FFF2-40B4-BE49-F238E27FC236}">
                  <a16:creationId xmlns:a16="http://schemas.microsoft.com/office/drawing/2014/main" id="{00000000-0008-0000-0300-000014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1371600</xdr:colOff>
          <xdr:row>90</xdr:row>
          <xdr:rowOff>19050</xdr:rowOff>
        </xdr:from>
        <xdr:to>
          <xdr:col>8</xdr:col>
          <xdr:colOff>1866900</xdr:colOff>
          <xdr:row>91</xdr:row>
          <xdr:rowOff>161925</xdr:rowOff>
        </xdr:to>
        <xdr:sp macro="" textlink="">
          <xdr:nvSpPr>
            <xdr:cNvPr id="31765" name="CommandButton4" hidden="1">
              <a:extLst>
                <a:ext uri="{63B3BB69-23CF-44E3-9099-C40C66FF867C}">
                  <a14:compatExt spid="_x0000_s31765"/>
                </a:ext>
                <a:ext uri="{FF2B5EF4-FFF2-40B4-BE49-F238E27FC236}">
                  <a16:creationId xmlns:a16="http://schemas.microsoft.com/office/drawing/2014/main" id="{00000000-0008-0000-0300-000015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36</xdr:row>
          <xdr:rowOff>104775</xdr:rowOff>
        </xdr:from>
        <xdr:to>
          <xdr:col>5</xdr:col>
          <xdr:colOff>752475</xdr:colOff>
          <xdr:row>37</xdr:row>
          <xdr:rowOff>171450</xdr:rowOff>
        </xdr:to>
        <xdr:sp macro="" textlink="">
          <xdr:nvSpPr>
            <xdr:cNvPr id="31773" name="CommandButton5" hidden="1">
              <a:extLst>
                <a:ext uri="{63B3BB69-23CF-44E3-9099-C40C66FF867C}">
                  <a14:compatExt spid="_x0000_s31773"/>
                </a:ext>
                <a:ext uri="{FF2B5EF4-FFF2-40B4-BE49-F238E27FC236}">
                  <a16:creationId xmlns:a16="http://schemas.microsoft.com/office/drawing/2014/main" id="{00000000-0008-0000-0300-00001D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36</xdr:row>
          <xdr:rowOff>104775</xdr:rowOff>
        </xdr:from>
        <xdr:to>
          <xdr:col>12</xdr:col>
          <xdr:colOff>733425</xdr:colOff>
          <xdr:row>37</xdr:row>
          <xdr:rowOff>171450</xdr:rowOff>
        </xdr:to>
        <xdr:sp macro="" textlink="">
          <xdr:nvSpPr>
            <xdr:cNvPr id="31774" name="CommandButton6" hidden="1">
              <a:extLst>
                <a:ext uri="{63B3BB69-23CF-44E3-9099-C40C66FF867C}">
                  <a14:compatExt spid="_x0000_s31774"/>
                </a:ext>
                <a:ext uri="{FF2B5EF4-FFF2-40B4-BE49-F238E27FC236}">
                  <a16:creationId xmlns:a16="http://schemas.microsoft.com/office/drawing/2014/main" id="{00000000-0008-0000-0300-00001E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c:userShapes xmlns:c="http://schemas.openxmlformats.org/drawingml/2006/chart">
  <cdr:relSizeAnchor xmlns:cdr="http://schemas.openxmlformats.org/drawingml/2006/chartDrawing">
    <cdr:from>
      <cdr:x>0.01303</cdr:x>
      <cdr:y>0.13866</cdr:y>
    </cdr:from>
    <cdr:to>
      <cdr:x>0.03697</cdr:x>
      <cdr:y>0.88951</cdr:y>
    </cdr:to>
    <cdr:sp macro="" textlink="">
      <cdr:nvSpPr>
        <cdr:cNvPr id="6" name="CuadroTexto 10"/>
        <cdr:cNvSpPr txBox="1"/>
      </cdr:nvSpPr>
      <cdr:spPr>
        <a:xfrm xmlns:a="http://schemas.openxmlformats.org/drawingml/2006/main">
          <a:off x="73211"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EXTERIOR</a:t>
          </a:r>
        </a:p>
      </cdr:txBody>
    </cdr:sp>
  </cdr:relSizeAnchor>
  <cdr:relSizeAnchor xmlns:cdr="http://schemas.openxmlformats.org/drawingml/2006/chartDrawing">
    <cdr:from>
      <cdr:x>0.96066</cdr:x>
      <cdr:y>0.13866</cdr:y>
    </cdr:from>
    <cdr:to>
      <cdr:x>0.9846</cdr:x>
      <cdr:y>0.88951</cdr:y>
    </cdr:to>
    <cdr:sp macro="" textlink="">
      <cdr:nvSpPr>
        <cdr:cNvPr id="7" name="CuadroTexto 10"/>
        <cdr:cNvSpPr txBox="1"/>
      </cdr:nvSpPr>
      <cdr:spPr>
        <a:xfrm xmlns:a="http://schemas.openxmlformats.org/drawingml/2006/main">
          <a:off x="5396005"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INTERIOR</a:t>
          </a:r>
        </a:p>
      </cdr:txBody>
    </cdr:sp>
  </cdr:relSizeAnchor>
  <cdr:relSizeAnchor xmlns:cdr="http://schemas.openxmlformats.org/drawingml/2006/chartDrawing">
    <cdr:from>
      <cdr:x>0.03332</cdr:x>
      <cdr:y>0.1429</cdr:y>
    </cdr:from>
    <cdr:to>
      <cdr:x>0.94761</cdr:x>
      <cdr:y>0.1429</cdr:y>
    </cdr:to>
    <cdr:cxnSp macro="">
      <cdr:nvCxnSpPr>
        <cdr:cNvPr id="3" name="Conector recto 2">
          <a:extLst xmlns:a="http://schemas.openxmlformats.org/drawingml/2006/main">
            <a:ext uri="{FF2B5EF4-FFF2-40B4-BE49-F238E27FC236}">
              <a16:creationId xmlns:a16="http://schemas.microsoft.com/office/drawing/2014/main" id="{0E213047-3536-4786-8895-580D9C26B9C6}"/>
            </a:ext>
          </a:extLst>
        </cdr:cNvPr>
        <cdr:cNvCxnSpPr/>
      </cdr:nvCxnSpPr>
      <cdr:spPr>
        <a:xfrm xmlns:a="http://schemas.openxmlformats.org/drawingml/2006/main">
          <a:off x="161335" y="411544"/>
          <a:ext cx="4426993" cy="0"/>
        </a:xfrm>
        <a:prstGeom xmlns:a="http://schemas.openxmlformats.org/drawingml/2006/main" prst="line">
          <a:avLst/>
        </a:prstGeom>
        <a:ln xmlns:a="http://schemas.openxmlformats.org/drawingml/2006/main" w="254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0.04558</cdr:x>
      <cdr:y>0.895</cdr:y>
    </cdr:from>
    <cdr:to>
      <cdr:x>0.95987</cdr:x>
      <cdr:y>0.895</cdr:y>
    </cdr:to>
    <cdr:cxnSp macro="">
      <cdr:nvCxnSpPr>
        <cdr:cNvPr id="8" name="Conector recto 7">
          <a:extLst xmlns:a="http://schemas.openxmlformats.org/drawingml/2006/main">
            <a:ext uri="{FF2B5EF4-FFF2-40B4-BE49-F238E27FC236}">
              <a16:creationId xmlns:a16="http://schemas.microsoft.com/office/drawing/2014/main" id="{2D68EFD5-8F0D-4C52-86DD-F45677E4DF56}"/>
            </a:ext>
          </a:extLst>
        </cdr:cNvPr>
        <cdr:cNvCxnSpPr/>
      </cdr:nvCxnSpPr>
      <cdr:spPr>
        <a:xfrm xmlns:a="http://schemas.openxmlformats.org/drawingml/2006/main">
          <a:off x="229722" y="2577600"/>
          <a:ext cx="4608000" cy="0"/>
        </a:xfrm>
        <a:prstGeom xmlns:a="http://schemas.openxmlformats.org/drawingml/2006/main" prst="line">
          <a:avLst/>
        </a:prstGeom>
        <a:ln xmlns:a="http://schemas.openxmlformats.org/drawingml/2006/main" w="127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0.01303</cdr:x>
      <cdr:y>0.13866</cdr:y>
    </cdr:from>
    <cdr:to>
      <cdr:x>0.03697</cdr:x>
      <cdr:y>0.88951</cdr:y>
    </cdr:to>
    <cdr:sp macro="" textlink="">
      <cdr:nvSpPr>
        <cdr:cNvPr id="6" name="CuadroTexto 10"/>
        <cdr:cNvSpPr txBox="1"/>
      </cdr:nvSpPr>
      <cdr:spPr>
        <a:xfrm xmlns:a="http://schemas.openxmlformats.org/drawingml/2006/main">
          <a:off x="73211"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EXTERIOR</a:t>
          </a:r>
        </a:p>
      </cdr:txBody>
    </cdr:sp>
  </cdr:relSizeAnchor>
  <cdr:relSizeAnchor xmlns:cdr="http://schemas.openxmlformats.org/drawingml/2006/chartDrawing">
    <cdr:from>
      <cdr:x>0.96066</cdr:x>
      <cdr:y>0.13866</cdr:y>
    </cdr:from>
    <cdr:to>
      <cdr:x>0.9846</cdr:x>
      <cdr:y>0.88951</cdr:y>
    </cdr:to>
    <cdr:sp macro="" textlink="">
      <cdr:nvSpPr>
        <cdr:cNvPr id="7" name="CuadroTexto 10"/>
        <cdr:cNvSpPr txBox="1"/>
      </cdr:nvSpPr>
      <cdr:spPr>
        <a:xfrm xmlns:a="http://schemas.openxmlformats.org/drawingml/2006/main">
          <a:off x="5396005" y="386976"/>
          <a:ext cx="134471" cy="209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L" sz="1100" spc="150" baseline="0"/>
            <a:t>INTERIOR</a:t>
          </a:r>
        </a:p>
      </cdr:txBody>
    </cdr:sp>
  </cdr:relSizeAnchor>
  <cdr:relSizeAnchor xmlns:cdr="http://schemas.openxmlformats.org/drawingml/2006/chartDrawing">
    <cdr:from>
      <cdr:x>0.04389</cdr:x>
      <cdr:y>0.12447</cdr:y>
    </cdr:from>
    <cdr:to>
      <cdr:x>0.95162</cdr:x>
      <cdr:y>0.12447</cdr:y>
    </cdr:to>
    <cdr:cxnSp macro="">
      <cdr:nvCxnSpPr>
        <cdr:cNvPr id="3" name="Conector recto 2">
          <a:extLst xmlns:a="http://schemas.openxmlformats.org/drawingml/2006/main">
            <a:ext uri="{FF2B5EF4-FFF2-40B4-BE49-F238E27FC236}">
              <a16:creationId xmlns:a16="http://schemas.microsoft.com/office/drawing/2014/main" id="{F568BACF-B3F4-4D2E-BB54-194A52031879}"/>
            </a:ext>
          </a:extLst>
        </cdr:cNvPr>
        <cdr:cNvCxnSpPr/>
      </cdr:nvCxnSpPr>
      <cdr:spPr>
        <a:xfrm xmlns:a="http://schemas.openxmlformats.org/drawingml/2006/main">
          <a:off x="246529" y="347383"/>
          <a:ext cx="5098676" cy="0"/>
        </a:xfrm>
        <a:prstGeom xmlns:a="http://schemas.openxmlformats.org/drawingml/2006/main" prst="line">
          <a:avLst/>
        </a:prstGeom>
        <a:ln xmlns:a="http://schemas.openxmlformats.org/drawingml/2006/main" w="22225">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0.04389</cdr:x>
      <cdr:y>0.8954</cdr:y>
    </cdr:from>
    <cdr:to>
      <cdr:x>0.95162</cdr:x>
      <cdr:y>0.8954</cdr:y>
    </cdr:to>
    <cdr:cxnSp macro="">
      <cdr:nvCxnSpPr>
        <cdr:cNvPr id="8" name="Conector recto 7">
          <a:extLst xmlns:a="http://schemas.openxmlformats.org/drawingml/2006/main">
            <a:ext uri="{FF2B5EF4-FFF2-40B4-BE49-F238E27FC236}">
              <a16:creationId xmlns:a16="http://schemas.microsoft.com/office/drawing/2014/main" id="{7CC3F0EF-5FB5-4B15-81CC-501C3F3E0018}"/>
            </a:ext>
          </a:extLst>
        </cdr:cNvPr>
        <cdr:cNvCxnSpPr/>
      </cdr:nvCxnSpPr>
      <cdr:spPr>
        <a:xfrm xmlns:a="http://schemas.openxmlformats.org/drawingml/2006/main">
          <a:off x="246529" y="2498912"/>
          <a:ext cx="5098676" cy="0"/>
        </a:xfrm>
        <a:prstGeom xmlns:a="http://schemas.openxmlformats.org/drawingml/2006/main" prst="line">
          <a:avLst/>
        </a:prstGeom>
        <a:ln xmlns:a="http://schemas.openxmlformats.org/drawingml/2006/main" w="127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0000000}" name="ISO10456_T5" displayName="ISO10456_T5" ref="E316:F328" totalsRowShown="0" headerRowDxfId="2223" dataDxfId="2221" headerRowBorderDxfId="2222" tableBorderDxfId="2220" totalsRowBorderDxfId="2219">
  <autoFilter ref="E316:F328" xr:uid="{00000000-0009-0000-0100-00000B000000}">
    <filterColumn colId="0" hiddenButton="1"/>
    <filterColumn colId="1" hiddenButton="1"/>
  </autoFilter>
  <tableColumns count="2">
    <tableColumn id="1" xr3:uid="{00000000-0010-0000-0000-000001000000}" name="Producto/material" dataDxfId="2218"/>
    <tableColumn id="2" xr3:uid="{00000000-0010-0000-0000-000002000000}" name="Espesor de aire equivalente_x000a_Sd_x000a_m" dataDxfId="2217"/>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Conversion_permeabilidad" displayName="Conversion_permeabilidad" ref="AK22:AL24" totalsRowShown="0" tableBorderDxfId="65">
  <tableColumns count="2">
    <tableColumn id="2" xr3:uid="{00000000-0010-0000-0900-000002000000}" name="unidad" dataDxfId="64"/>
    <tableColumn id="3" xr3:uid="{00000000-0010-0000-0900-000003000000}" name="conversión a kg/msPa" dataDxfId="63"/>
  </tableColumns>
  <tableStyleInfo name="TableStyleLight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A000000}" name="datos_humedad_julio" displayName="datos_humedad_julio" ref="D60:E113" totalsRowShown="0" headerRowDxfId="62" tableBorderDxfId="61">
  <autoFilter ref="D60:E113" xr:uid="{00000000-0009-0000-0100-000003000000}"/>
  <tableColumns count="2">
    <tableColumn id="1" xr3:uid="{00000000-0010-0000-0A00-000001000000}" name="Provincia" dataDxfId="60"/>
    <tableColumn id="2" xr3:uid="{00000000-0010-0000-0A00-000002000000}" name="Julio" dataDxfId="59"/>
  </tableColumns>
  <tableStyleInfo name="TableStyleLight1"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B000000}" name="φi" displayName="φi" ref="AO2:AP5" totalsRowShown="0" headerRowDxfId="58" dataDxfId="57">
  <autoFilter ref="AO2:AP5" xr:uid="{00000000-0009-0000-0100-000005000000}"/>
  <tableColumns count="2">
    <tableColumn id="1" xr3:uid="{00000000-0010-0000-0B00-000001000000}" name="i" dataDxfId="56"/>
    <tableColumn id="2" xr3:uid="{00000000-0010-0000-0B00-000002000000}" name="HR" dataDxfId="55"/>
  </tableColumns>
  <tableStyleInfo name="TableStyleLight1"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PDA" displayName="PDA" ref="AL42:AO53" totalsRowShown="0" headerRowDxfId="54">
  <autoFilter ref="AL42:AO53" xr:uid="{00000000-0009-0000-0100-000007000000}"/>
  <tableColumns count="4">
    <tableColumn id="1" xr3:uid="{00000000-0010-0000-0C00-000001000000}" name="PDA"/>
    <tableColumn id="2" xr3:uid="{00000000-0010-0000-0C00-000002000000}" name="Rt muro" dataDxfId="53"/>
    <tableColumn id="3" xr3:uid="{00000000-0010-0000-0C00-000003000000}" name="Rt techo"/>
    <tableColumn id="4" xr3:uid="{00000000-0010-0000-0C00-000004000000}" name="Rt piso ventilado"/>
  </tableColumns>
  <tableStyleInfo name="TableStyleLight1"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Aire_horizontal" displayName="Aire_horizontal" ref="AT2:AX11" totalsRowShown="0">
  <autoFilter ref="AT2:AX11" xr:uid="{00000000-0009-0000-0100-00000C000000}"/>
  <tableColumns count="5">
    <tableColumn id="1" xr3:uid="{00000000-0010-0000-0D00-000001000000}" name="Espesor"/>
    <tableColumn id="2" xr3:uid="{00000000-0010-0000-0D00-000002000000}" name="0,82" dataDxfId="52"/>
    <tableColumn id="3" xr3:uid="{00000000-0010-0000-0D00-000003000000}" name="0,20" dataDxfId="51"/>
    <tableColumn id="4" xr3:uid="{00000000-0010-0000-0D00-000004000000}" name="0,11" dataDxfId="50"/>
    <tableColumn id="5" xr3:uid="{00000000-0010-0000-0D00-000005000000}" name="0,05" dataDxfId="49"/>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Aire_ascendente" displayName="Aire_ascendente" ref="AZ2:BD15" totalsRowShown="0">
  <autoFilter ref="AZ2:BD15" xr:uid="{00000000-0009-0000-0100-000010000000}"/>
  <tableColumns count="5">
    <tableColumn id="1" xr3:uid="{00000000-0010-0000-0E00-000001000000}" name="Espesor"/>
    <tableColumn id="2" xr3:uid="{00000000-0010-0000-0E00-000002000000}" name="0,82" dataDxfId="48"/>
    <tableColumn id="3" xr3:uid="{00000000-0010-0000-0E00-000003000000}" name="0,20" dataDxfId="47"/>
    <tableColumn id="4" xr3:uid="{00000000-0010-0000-0E00-000004000000}" name="0,11" dataDxfId="46"/>
    <tableColumn id="5" xr3:uid="{00000000-0010-0000-0E00-000005000000}" name="0,05" dataDxfId="45"/>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Aire_descendente" displayName="Aire_descendente" ref="AZ17:BD31" totalsRowShown="0">
  <autoFilter ref="AZ17:BD31" xr:uid="{00000000-0009-0000-0100-000011000000}"/>
  <tableColumns count="5">
    <tableColumn id="1" xr3:uid="{00000000-0010-0000-0F00-000001000000}" name="Espesor"/>
    <tableColumn id="2" xr3:uid="{00000000-0010-0000-0F00-000002000000}" name="0,82" dataDxfId="44"/>
    <tableColumn id="3" xr3:uid="{00000000-0010-0000-0F00-000003000000}" name="0,20" dataDxfId="43"/>
    <tableColumn id="4" xr3:uid="{00000000-0010-0000-0F00-000004000000}" name="0,11" dataDxfId="42"/>
    <tableColumn id="5" xr3:uid="{00000000-0010-0000-0F00-000005000000}" name="0,05" dataDxfId="41"/>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0000000}" name="Conversion_permeabilidad23" displayName="Conversion_permeabilidad23" ref="AK27:AL28" totalsRowShown="0" tableBorderDxfId="40">
  <tableColumns count="2">
    <tableColumn id="2" xr3:uid="{00000000-0010-0000-1000-000002000000}" name="unidad" dataDxfId="39"/>
    <tableColumn id="3" xr3:uid="{00000000-0010-0000-1000-000003000000}" name="conversión a m²sPa/kg" dataDxfId="38"/>
  </tableColumns>
  <tableStyleInfo name="TableStyleLight1"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1000000}" name="Tabla23" displayName="Tabla23" ref="AQ25:AR29" totalsRowShown="0">
  <autoFilter ref="AQ25:AR29" xr:uid="{00000000-0009-0000-0100-000017000000}"/>
  <tableColumns count="2">
    <tableColumn id="1" xr3:uid="{00000000-0010-0000-1100-000001000000}" name="Perfiles" dataDxfId="37"/>
    <tableColumn id="2" xr3:uid="{00000000-0010-0000-1100-000002000000}" name="R"/>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2000000}" name="NCh853_Rsup" displayName="NCh853_Rsup" ref="AZ34:BB37" totalsRowShown="0" headerRowDxfId="36" tableBorderDxfId="35">
  <autoFilter ref="AZ34:BB37" xr:uid="{00000000-0009-0000-0100-000018000000}"/>
  <tableColumns count="3">
    <tableColumn id="1" xr3:uid="{00000000-0010-0000-1200-000001000000}" name="Dirección de flujo" dataDxfId="34"/>
    <tableColumn id="2" xr3:uid="{00000000-0010-0000-1200-000002000000}" name="Rsi"/>
    <tableColumn id="3" xr3:uid="{00000000-0010-0000-1200-000003000000}" name="Rse" dataDxfId="33"/>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1000000}" name="ISO10456_T4" displayName="ISO10456_T4" ref="D293:I312" totalsRowShown="0" headerRowDxfId="2216" dataDxfId="2215" tableBorderDxfId="2214">
  <autoFilter ref="D293:I312" xr:uid="{00000000-0009-0000-0100-00000D000000}">
    <filterColumn colId="0" hiddenButton="1"/>
    <filterColumn colId="1" hiddenButton="1"/>
    <filterColumn colId="2" hiddenButton="1"/>
    <filterColumn colId="3" hiddenButton="1"/>
    <filterColumn colId="4" hiddenButton="1"/>
    <filterColumn colId="5" hiddenButton="1"/>
  </autoFilter>
  <tableColumns count="6">
    <tableColumn id="7" xr3:uid="{00000000-0010-0000-0100-000007000000}" name="Nombre para mostrar" dataDxfId="2213">
      <calculatedColumnFormula>ISO10456_T4[[#This Row],[Material]]&amp;", ρ ="&amp;ISO10456_T4[[#This Row],[Densidad
ρ
kg/m³]]&amp;" kg/m³"</calculatedColumnFormula>
    </tableColumn>
    <tableColumn id="1" xr3:uid="{00000000-0010-0000-0100-000001000000}" name="Material" dataDxfId="2212"/>
    <tableColumn id="2" xr3:uid="{00000000-0010-0000-0100-000002000000}" name="Densidad_x000a_ρ_x000a_kg/m³" dataDxfId="2211"/>
    <tableColumn id="3" xr3:uid="{00000000-0010-0000-0100-000003000000}" name="Factor de resistencia al vapor de agua _x000a_μ _x000a_seco" dataDxfId="2210"/>
    <tableColumn id="4" xr3:uid="{00000000-0010-0000-0100-000004000000}" name="Factor de resistencia al vapor de agua _x000a_μ _x000a_húmedo" dataDxfId="2209"/>
    <tableColumn id="5" xr3:uid="{00000000-0010-0000-0100-000005000000}" name="Capacidad calorífica específica_x000a_CP_x000a_J/(kg∙K)" dataDxfId="2208"/>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3000000}" name="datos_temperatura_media" displayName="datos_temperatura_media" ref="V2:AI45" totalsRowShown="0" headerRowDxfId="32" headerRowBorderDxfId="31">
  <autoFilter ref="V2:AI45" xr:uid="{00000000-0009-0000-0100-000002000000}"/>
  <tableColumns count="14">
    <tableColumn id="1" xr3:uid="{00000000-0010-0000-1300-000001000000}" name="Estación Meteorológica" dataDxfId="30"/>
    <tableColumn id="2" xr3:uid="{00000000-0010-0000-1300-000002000000}" name="Enero" dataDxfId="29"/>
    <tableColumn id="3" xr3:uid="{00000000-0010-0000-1300-000003000000}" name="Febrero" dataDxfId="28"/>
    <tableColumn id="4" xr3:uid="{00000000-0010-0000-1300-000004000000}" name="Marzo" dataDxfId="27"/>
    <tableColumn id="5" xr3:uid="{00000000-0010-0000-1300-000005000000}" name="Abril" dataDxfId="26"/>
    <tableColumn id="6" xr3:uid="{00000000-0010-0000-1300-000006000000}" name="Mayo" dataDxfId="25"/>
    <tableColumn id="7" xr3:uid="{00000000-0010-0000-1300-000007000000}" name="Junio" dataDxfId="24"/>
    <tableColumn id="8" xr3:uid="{00000000-0010-0000-1300-000008000000}" name="Julio" dataDxfId="23"/>
    <tableColumn id="9" xr3:uid="{00000000-0010-0000-1300-000009000000}" name="Agosto" dataDxfId="22"/>
    <tableColumn id="10" xr3:uid="{00000000-0010-0000-1300-00000A000000}" name="Septiembre" dataDxfId="21"/>
    <tableColumn id="11" xr3:uid="{00000000-0010-0000-1300-00000B000000}" name="Octubre" dataDxfId="20"/>
    <tableColumn id="12" xr3:uid="{00000000-0010-0000-1300-00000C000000}" name="Noviembre" dataDxfId="19"/>
    <tableColumn id="13" xr3:uid="{00000000-0010-0000-1300-00000D000000}" name="Diciembre" dataDxfId="18"/>
    <tableColumn id="14" xr3:uid="{00000000-0010-0000-1300-00000E000000}" name="Media anual" dataDxfId="17"/>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4000000}" name="datos_humedad_media" displayName="datos_humedad_media" ref="V60:AI103" totalsRowShown="0" headerRowDxfId="16" headerRowBorderDxfId="15">
  <autoFilter ref="V60:AI103" xr:uid="{00000000-0009-0000-0100-000008000000}"/>
  <tableColumns count="14">
    <tableColumn id="1" xr3:uid="{00000000-0010-0000-1400-000001000000}" name="Estación Meteorológica" dataDxfId="14"/>
    <tableColumn id="2" xr3:uid="{00000000-0010-0000-1400-000002000000}" name="Enero" dataDxfId="13"/>
    <tableColumn id="3" xr3:uid="{00000000-0010-0000-1400-000003000000}" name="Febrero" dataDxfId="12"/>
    <tableColumn id="4" xr3:uid="{00000000-0010-0000-1400-000004000000}" name="Marzo" dataDxfId="11"/>
    <tableColumn id="5" xr3:uid="{00000000-0010-0000-1400-000005000000}" name="Abril" dataDxfId="10"/>
    <tableColumn id="6" xr3:uid="{00000000-0010-0000-1400-000006000000}" name="Mayo" dataDxfId="9"/>
    <tableColumn id="7" xr3:uid="{00000000-0010-0000-1400-000007000000}" name="Junio" dataDxfId="8"/>
    <tableColumn id="8" xr3:uid="{00000000-0010-0000-1400-000008000000}" name="Julio" dataDxfId="7"/>
    <tableColumn id="9" xr3:uid="{00000000-0010-0000-1400-000009000000}" name="Agosto" dataDxfId="6"/>
    <tableColumn id="10" xr3:uid="{00000000-0010-0000-1400-00000A000000}" name="Septiembre" dataDxfId="5"/>
    <tableColumn id="11" xr3:uid="{00000000-0010-0000-1400-00000B000000}" name="Octubre" dataDxfId="4"/>
    <tableColumn id="12" xr3:uid="{00000000-0010-0000-1400-00000C000000}" name="Noviembre" dataDxfId="3"/>
    <tableColumn id="13" xr3:uid="{00000000-0010-0000-1400-00000D000000}" name="Diciembre" dataDxfId="2"/>
    <tableColumn id="14" xr3:uid="{00000000-0010-0000-1400-00000E000000}" name="media anual" dataDxfId="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2000000}" name="ISO10456_T3" displayName="ISO10456_T3" ref="C138:J289" totalsRowShown="0" headerRowDxfId="2207" dataDxfId="2206" tableBorderDxfId="2205">
  <autoFilter ref="C138:J289" xr:uid="{00000000-0009-0000-0100-00000E000000}">
    <filterColumn colId="0"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200-000001000000}" name="Grupo" dataDxfId="2204"/>
    <tableColumn id="8" xr3:uid="{00000000-0010-0000-0200-000008000000}" name="Nombre para mostrar" dataDxfId="2203"/>
    <tableColumn id="2" xr3:uid="{00000000-0010-0000-0200-000002000000}" name="Materiales o aplicación" dataDxfId="2202"/>
    <tableColumn id="3" xr3:uid="{00000000-0010-0000-0200-000003000000}" name="Densidad_x000a_ρ_x000a_kg/m³" dataDxfId="2201"/>
    <tableColumn id="4" xr3:uid="{00000000-0010-0000-0200-000004000000}" name="Conductividad térmica de diseño_x000a_λ_x000a_W/(m∙K)" dataDxfId="2200"/>
    <tableColumn id="5" xr3:uid="{00000000-0010-0000-0200-000005000000}" name="Capacidad calorífica específica_x000a_CP_x000a_J/(kg∙K)" dataDxfId="2199"/>
    <tableColumn id="6" xr3:uid="{00000000-0010-0000-0200-000006000000}" name="factor de resistencia al vapor de agua_x000a_μ_x000a_seco" dataDxfId="2198"/>
    <tableColumn id="7" xr3:uid="{00000000-0010-0000-0200-000007000000}" name="factor de resistencia al vapor de agua_x000a_μ_x000a_húmedo" dataDxfId="2197"/>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3000000}" name="Ensayados" displayName="Ensayados" ref="E46:I111" totalsRowShown="0" headerRowDxfId="2196" dataDxfId="2195" tableBorderDxfId="2194" dataCellStyle="Normal">
  <autoFilter ref="E46:I111" xr:uid="{00000000-0009-0000-0100-00000F000000}">
    <filterColumn colId="0" hiddenButton="1"/>
    <filterColumn colId="1" hiddenButton="1"/>
    <filterColumn colId="2" hiddenButton="1"/>
    <filterColumn colId="3" hiddenButton="1"/>
    <filterColumn colId="4" hiddenButton="1"/>
  </autoFilter>
  <sortState xmlns:xlrd2="http://schemas.microsoft.com/office/spreadsheetml/2017/richdata2" ref="E47:I111">
    <sortCondition ref="E46:E111"/>
  </sortState>
  <tableColumns count="5">
    <tableColumn id="1" xr3:uid="{00000000-0010-0000-0300-000001000000}" name="Material" dataDxfId="2193" dataCellStyle="Normal"/>
    <tableColumn id="7" xr3:uid="{00000000-0010-0000-0300-000007000000}" name="Espesor_x000a_[m]" dataDxfId="2192"/>
    <tableColumn id="3" xr3:uid="{00000000-0010-0000-0300-000003000000}" name="Resistencia a la difusión de vapor_x000a_Zp_x000a_MNs/g" dataDxfId="2191" dataCellStyle="Normal"/>
    <tableColumn id="4" xr3:uid="{00000000-0010-0000-0300-000004000000}" name="Resistividad a la difusión de vapor_x000a_msPa/kg" dataDxfId="2190" dataCellStyle="Normal"/>
    <tableColumn id="5" xr3:uid="{00000000-0010-0000-0300-000005000000}" name="Factor de resistencia al vapor de agua _x000a_μ" dataDxfId="2189" dataCellStyle="Normal"/>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4000000}" name="Usuario" displayName="Usuario" ref="E28:I43" totalsRowShown="0" headerRowDxfId="2188" dataDxfId="2187" tableBorderDxfId="2186">
  <autoFilter ref="E28:I43" xr:uid="{00000000-0009-0000-0100-000012000000}">
    <filterColumn colId="0" hiddenButton="1"/>
    <filterColumn colId="1" hiddenButton="1"/>
    <filterColumn colId="2" hiddenButton="1"/>
    <filterColumn colId="3" hiddenButton="1"/>
    <filterColumn colId="4" hiddenButton="1"/>
  </autoFilter>
  <tableColumns count="5">
    <tableColumn id="1" xr3:uid="{00000000-0010-0000-0400-000001000000}" name="Nombre y/o descripción material" dataDxfId="2185"/>
    <tableColumn id="5" xr3:uid="{00000000-0010-0000-0400-000005000000}" name="Espesor_x000a_m" dataDxfId="2184"/>
    <tableColumn id="2" xr3:uid="{00000000-0010-0000-0400-000002000000}" name="Conductividad térmica_x000a_λ_x000a_W/(m∙K)" dataDxfId="2183"/>
    <tableColumn id="3" xr3:uid="{00000000-0010-0000-0400-000003000000}" name="Propiedad de la difusión de vapor de agua conocida (elegir una)" dataDxfId="2182"/>
    <tableColumn id="4" xr3:uid="{00000000-0010-0000-0400-000004000000}" name="Valor de la propiedad de difusión de vapor de agua" dataDxfId="2181"/>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IRAM11606_TA6" displayName="IRAM11606_TA6" ref="E128:G134" totalsRowShown="0" headerRowDxfId="2180" dataDxfId="2178" headerRowBorderDxfId="2179" tableBorderDxfId="2177" totalsRowBorderDxfId="2176">
  <autoFilter ref="E128:G134" xr:uid="{00000000-0009-0000-0100-000013000000}">
    <filterColumn colId="0" hiddenButton="1"/>
    <filterColumn colId="1" hiddenButton="1"/>
    <filterColumn colId="2" hiddenButton="1"/>
  </autoFilter>
  <tableColumns count="3">
    <tableColumn id="1" xr3:uid="{00000000-0010-0000-0500-000001000000}" name="Material" dataDxfId="2175"/>
    <tableColumn id="2" xr3:uid="{00000000-0010-0000-0500-000002000000}" name="Permeabilidad al vapor de agua_x000a_δp_x000a_[gm/MNs]" dataDxfId="2174"/>
    <tableColumn id="3" xr3:uid="{00000000-0010-0000-0500-000003000000}" name="Permeabilidad al vapor de agua_x000a_δp_x000a_[Kg/msPa]" dataDxfId="2173"/>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Materiales" displayName="Materiales" ref="A3:I23" totalsRowShown="0" headerRowDxfId="2172" dataDxfId="2171" tableBorderDxfId="2170">
  <autoFilter ref="A3:I23" xr:uid="{00000000-0009-0000-0100-00001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9" xr3:uid="{00000000-0010-0000-0600-000009000000}" name="Nombre para mostrar" dataDxfId="2169">
      <calculatedColumnFormula>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calculatedColumnFormula>
    </tableColumn>
    <tableColumn id="12" xr3:uid="{00000000-0010-0000-0600-00000C000000}" name="N°" dataDxfId="2168"/>
    <tableColumn id="1" xr3:uid="{00000000-0010-0000-0600-000001000000}" name="Origen de datos" dataDxfId="2167"/>
    <tableColumn id="6" xr3:uid="{00000000-0010-0000-0600-000006000000}" name="Lista origen" dataDxfId="2166">
      <calculatedColumnFormula>VLOOKUP(Materiales[[#This Row],[Origen de datos]],Aux!$AP$8:$AQ$14,2,FALSE)</calculatedColumnFormula>
    </tableColumn>
    <tableColumn id="2" xr3:uid="{00000000-0010-0000-0600-000002000000}" name="Material y/o descripción" dataDxfId="2165"/>
    <tableColumn id="7" xr3:uid="{00000000-0010-0000-0600-000007000000}" name="Nombre abreviado para gráficos" dataDxfId="2164"/>
    <tableColumn id="5" xr3:uid="{00000000-0010-0000-0600-000005000000}" name="Espesor_x000a_m" dataDxfId="2163"/>
    <tableColumn id="3" xr3:uid="{00000000-0010-0000-0600-000003000000}" name="Conductividad térmica_x000a_λ_x000a_W/(m∙K)" dataDxfId="2162"/>
    <tableColumn id="4" xr3:uid="{00000000-0010-0000-0600-000004000000}" name="Propiedad de la difusión de vapor de agua y su valor" dataDxfId="2161">
      <calculatedColumnFormula>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calculatedColumnFormula>
    </tableColumn>
  </tableColumns>
  <tableStyleInfo name="TableStyleLight1"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NCh_853" displayName="NCh_853" ref="E115:G123" totalsRowShown="0" headerRowDxfId="2160" dataDxfId="2159" tableBorderDxfId="2158">
  <autoFilter ref="E115:G123" xr:uid="{00000000-0009-0000-0100-000015000000}">
    <filterColumn colId="0" hiddenButton="1"/>
    <filterColumn colId="1" hiddenButton="1"/>
    <filterColumn colId="2" hiddenButton="1"/>
  </autoFilter>
  <tableColumns count="3">
    <tableColumn id="1" xr3:uid="{00000000-0010-0000-0700-000001000000}" name="Material" dataDxfId="2157"/>
    <tableColumn id="2" xr3:uid="{00000000-0010-0000-0700-000002000000}" name="Resistencia térmica_x000a_R_x000a_m²K/W" dataDxfId="2156"/>
    <tableColumn id="3" xr3:uid="{00000000-0010-0000-0700-000003000000}" name="Factor de resistencia al vapor de agua _x000a_μ" dataDxfId="2155"/>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datos_temperatura_julio" displayName="datos_temperatura_julio" ref="D2:E55" totalsRowShown="0" headerRowDxfId="70" headerRowBorderDxfId="69" tableBorderDxfId="68">
  <autoFilter ref="D2:E55" xr:uid="{00000000-0009-0000-0100-000001000000}"/>
  <tableColumns count="2">
    <tableColumn id="1" xr3:uid="{00000000-0010-0000-0800-000001000000}" name="Provincia" dataDxfId="67"/>
    <tableColumn id="14" xr3:uid="{00000000-0010-0000-0800-00000E000000}" name="Julio" dataDxfId="66"/>
  </tableColumns>
  <tableStyleInfo name="TableStyleLight1" showFirstColumn="0" showLastColumn="0" showRowStripes="0" showColumnStripes="0"/>
</table>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table" Target="../tables/table3.xml"/><Relationship Id="rId13" Type="http://schemas.openxmlformats.org/officeDocument/2006/relationships/table" Target="../tables/table8.xml"/><Relationship Id="rId3" Type="http://schemas.openxmlformats.org/officeDocument/2006/relationships/vmlDrawing" Target="../drawings/vmlDrawing1.vm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image" Target="../media/image1.emf"/><Relationship Id="rId10" Type="http://schemas.openxmlformats.org/officeDocument/2006/relationships/table" Target="../tables/table5.xml"/><Relationship Id="rId4" Type="http://schemas.openxmlformats.org/officeDocument/2006/relationships/control" Target="../activeX/activeX1.xml"/><Relationship Id="rId9" Type="http://schemas.openxmlformats.org/officeDocument/2006/relationships/table" Target="../tables/table4.xml"/><Relationship Id="rId1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image" Target="../media/image6.emf"/><Relationship Id="rId18" Type="http://schemas.openxmlformats.org/officeDocument/2006/relationships/ctrlProp" Target="../ctrlProps/ctrlProp3.xml"/><Relationship Id="rId26" Type="http://schemas.openxmlformats.org/officeDocument/2006/relationships/ctrlProp" Target="../ctrlProps/ctrlProp11.xml"/><Relationship Id="rId3" Type="http://schemas.openxmlformats.org/officeDocument/2006/relationships/vmlDrawing" Target="../drawings/vmlDrawing2.vml"/><Relationship Id="rId21" Type="http://schemas.openxmlformats.org/officeDocument/2006/relationships/ctrlProp" Target="../ctrlProps/ctrlProp6.xml"/><Relationship Id="rId7" Type="http://schemas.openxmlformats.org/officeDocument/2006/relationships/image" Target="../media/image3.emf"/><Relationship Id="rId12" Type="http://schemas.openxmlformats.org/officeDocument/2006/relationships/control" Target="../activeX/activeX6.xml"/><Relationship Id="rId17" Type="http://schemas.openxmlformats.org/officeDocument/2006/relationships/ctrlProp" Target="../ctrlProps/ctrlProp2.xml"/><Relationship Id="rId25" Type="http://schemas.openxmlformats.org/officeDocument/2006/relationships/ctrlProp" Target="../ctrlProps/ctrlProp10.xml"/><Relationship Id="rId2" Type="http://schemas.openxmlformats.org/officeDocument/2006/relationships/drawing" Target="../drawings/drawing2.xml"/><Relationship Id="rId16" Type="http://schemas.openxmlformats.org/officeDocument/2006/relationships/ctrlProp" Target="../ctrlProps/ctrlProp1.xml"/><Relationship Id="rId20" Type="http://schemas.openxmlformats.org/officeDocument/2006/relationships/ctrlProp" Target="../ctrlProps/ctrlProp5.xml"/><Relationship Id="rId29" Type="http://schemas.openxmlformats.org/officeDocument/2006/relationships/ctrlProp" Target="../ctrlProps/ctrlProp14.xml"/><Relationship Id="rId1" Type="http://schemas.openxmlformats.org/officeDocument/2006/relationships/printerSettings" Target="../printerSettings/printerSettings3.bin"/><Relationship Id="rId6" Type="http://schemas.openxmlformats.org/officeDocument/2006/relationships/control" Target="../activeX/activeX3.xml"/><Relationship Id="rId11" Type="http://schemas.openxmlformats.org/officeDocument/2006/relationships/image" Target="../media/image5.emf"/><Relationship Id="rId24" Type="http://schemas.openxmlformats.org/officeDocument/2006/relationships/ctrlProp" Target="../ctrlProps/ctrlProp9.xml"/><Relationship Id="rId32" Type="http://schemas.openxmlformats.org/officeDocument/2006/relationships/ctrlProp" Target="../ctrlProps/ctrlProp17.xml"/><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ctrlProp" Target="../ctrlProps/ctrlProp8.xml"/><Relationship Id="rId28" Type="http://schemas.openxmlformats.org/officeDocument/2006/relationships/ctrlProp" Target="../ctrlProps/ctrlProp13.xml"/><Relationship Id="rId10" Type="http://schemas.openxmlformats.org/officeDocument/2006/relationships/control" Target="../activeX/activeX5.xml"/><Relationship Id="rId19" Type="http://schemas.openxmlformats.org/officeDocument/2006/relationships/ctrlProp" Target="../ctrlProps/ctrlProp4.xml"/><Relationship Id="rId31" Type="http://schemas.openxmlformats.org/officeDocument/2006/relationships/ctrlProp" Target="../ctrlProps/ctrlProp16.xml"/><Relationship Id="rId4" Type="http://schemas.openxmlformats.org/officeDocument/2006/relationships/control" Target="../activeX/activeX2.xml"/><Relationship Id="rId9" Type="http://schemas.openxmlformats.org/officeDocument/2006/relationships/image" Target="../media/image4.emf"/><Relationship Id="rId14" Type="http://schemas.openxmlformats.org/officeDocument/2006/relationships/control" Target="../activeX/activeX7.xml"/><Relationship Id="rId22" Type="http://schemas.openxmlformats.org/officeDocument/2006/relationships/ctrlProp" Target="../ctrlProps/ctrlProp7.xml"/><Relationship Id="rId27" Type="http://schemas.openxmlformats.org/officeDocument/2006/relationships/ctrlProp" Target="../ctrlProps/ctrlProp12.xml"/><Relationship Id="rId30"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control" Target="../activeX/activeX12.xml"/><Relationship Id="rId18" Type="http://schemas.openxmlformats.org/officeDocument/2006/relationships/ctrlProp" Target="../ctrlProps/ctrlProp19.xml"/><Relationship Id="rId26" Type="http://schemas.openxmlformats.org/officeDocument/2006/relationships/ctrlProp" Target="../ctrlProps/ctrlProp27.xml"/><Relationship Id="rId3" Type="http://schemas.openxmlformats.org/officeDocument/2006/relationships/vmlDrawing" Target="../drawings/vmlDrawing3.vml"/><Relationship Id="rId21" Type="http://schemas.openxmlformats.org/officeDocument/2006/relationships/ctrlProp" Target="../ctrlProps/ctrlProp22.xml"/><Relationship Id="rId7" Type="http://schemas.openxmlformats.org/officeDocument/2006/relationships/control" Target="../activeX/activeX9.xml"/><Relationship Id="rId12" Type="http://schemas.openxmlformats.org/officeDocument/2006/relationships/image" Target="../media/image11.emf"/><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image" Target="../media/image13.emf"/><Relationship Id="rId20" Type="http://schemas.openxmlformats.org/officeDocument/2006/relationships/ctrlProp" Target="../ctrlProps/ctrlProp21.xml"/><Relationship Id="rId29" Type="http://schemas.openxmlformats.org/officeDocument/2006/relationships/ctrlProp" Target="../ctrlProps/ctrlProp30.xml"/><Relationship Id="rId1" Type="http://schemas.openxmlformats.org/officeDocument/2006/relationships/printerSettings" Target="../printerSettings/printerSettings4.bin"/><Relationship Id="rId6" Type="http://schemas.openxmlformats.org/officeDocument/2006/relationships/image" Target="../media/image8.emf"/><Relationship Id="rId11" Type="http://schemas.openxmlformats.org/officeDocument/2006/relationships/control" Target="../activeX/activeX11.xml"/><Relationship Id="rId24" Type="http://schemas.openxmlformats.org/officeDocument/2006/relationships/ctrlProp" Target="../ctrlProps/ctrlProp25.xml"/><Relationship Id="rId32" Type="http://schemas.openxmlformats.org/officeDocument/2006/relationships/ctrlProp" Target="../ctrlProps/ctrlProp33.xml"/><Relationship Id="rId5" Type="http://schemas.openxmlformats.org/officeDocument/2006/relationships/control" Target="../activeX/activeX8.xml"/><Relationship Id="rId15" Type="http://schemas.openxmlformats.org/officeDocument/2006/relationships/control" Target="../activeX/activeX13.xml"/><Relationship Id="rId23" Type="http://schemas.openxmlformats.org/officeDocument/2006/relationships/ctrlProp" Target="../ctrlProps/ctrlProp24.xml"/><Relationship Id="rId28" Type="http://schemas.openxmlformats.org/officeDocument/2006/relationships/ctrlProp" Target="../ctrlProps/ctrlProp29.xml"/><Relationship Id="rId10" Type="http://schemas.openxmlformats.org/officeDocument/2006/relationships/image" Target="../media/image10.emf"/><Relationship Id="rId19" Type="http://schemas.openxmlformats.org/officeDocument/2006/relationships/ctrlProp" Target="../ctrlProps/ctrlProp20.xml"/><Relationship Id="rId31" Type="http://schemas.openxmlformats.org/officeDocument/2006/relationships/ctrlProp" Target="../ctrlProps/ctrlProp32.xml"/><Relationship Id="rId4" Type="http://schemas.openxmlformats.org/officeDocument/2006/relationships/vmlDrawing" Target="../drawings/vmlDrawing4.vml"/><Relationship Id="rId9" Type="http://schemas.openxmlformats.org/officeDocument/2006/relationships/control" Target="../activeX/activeX10.xml"/><Relationship Id="rId14" Type="http://schemas.openxmlformats.org/officeDocument/2006/relationships/image" Target="../media/image12.emf"/><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5.xml"/><Relationship Id="rId13" Type="http://schemas.openxmlformats.org/officeDocument/2006/relationships/table" Target="../tables/table20.xml"/><Relationship Id="rId3" Type="http://schemas.openxmlformats.org/officeDocument/2006/relationships/table" Target="../tables/table10.xml"/><Relationship Id="rId7" Type="http://schemas.openxmlformats.org/officeDocument/2006/relationships/table" Target="../tables/table14.xml"/><Relationship Id="rId12" Type="http://schemas.openxmlformats.org/officeDocument/2006/relationships/table" Target="../tables/table19.xml"/><Relationship Id="rId2" Type="http://schemas.openxmlformats.org/officeDocument/2006/relationships/table" Target="../tables/table9.xml"/><Relationship Id="rId1" Type="http://schemas.openxmlformats.org/officeDocument/2006/relationships/printerSettings" Target="../printerSettings/printerSettings6.bin"/><Relationship Id="rId6" Type="http://schemas.openxmlformats.org/officeDocument/2006/relationships/table" Target="../tables/table13.xml"/><Relationship Id="rId11" Type="http://schemas.openxmlformats.org/officeDocument/2006/relationships/table" Target="../tables/table18.xml"/><Relationship Id="rId5" Type="http://schemas.openxmlformats.org/officeDocument/2006/relationships/table" Target="../tables/table12.xml"/><Relationship Id="rId10" Type="http://schemas.openxmlformats.org/officeDocument/2006/relationships/table" Target="../tables/table17.xml"/><Relationship Id="rId4" Type="http://schemas.openxmlformats.org/officeDocument/2006/relationships/table" Target="../tables/table11.xml"/><Relationship Id="rId9" Type="http://schemas.openxmlformats.org/officeDocument/2006/relationships/table" Target="../tables/table16.xml"/><Relationship Id="rId14" Type="http://schemas.openxmlformats.org/officeDocument/2006/relationships/table" Target="../tables/table2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tabColor theme="1"/>
    <pageSetUpPr fitToPage="1"/>
  </sheetPr>
  <dimension ref="A1:Q40"/>
  <sheetViews>
    <sheetView showRowColHeaders="0" zoomScale="57" zoomScaleNormal="57" workbookViewId="0">
      <selection activeCell="O40" sqref="O40"/>
    </sheetView>
  </sheetViews>
  <sheetFormatPr baseColWidth="10" defaultColWidth="0" defaultRowHeight="15" zeroHeight="1" x14ac:dyDescent="0.25"/>
  <cols>
    <col min="1" max="2" width="2.42578125" style="1" customWidth="1"/>
    <col min="3" max="3" width="32.5703125" style="1" customWidth="1"/>
    <col min="4" max="4" width="11.42578125" style="1" customWidth="1"/>
    <col min="5" max="5" width="3.5703125" style="1" customWidth="1"/>
    <col min="6" max="7" width="11.42578125" style="1" customWidth="1"/>
    <col min="8" max="8" width="30.42578125" style="1" customWidth="1"/>
    <col min="9" max="11" width="11.42578125" style="1" customWidth="1"/>
    <col min="12" max="12" width="3.140625" style="1" customWidth="1"/>
    <col min="13" max="15" width="11.42578125" style="1" customWidth="1"/>
    <col min="16" max="16" width="18.28515625" style="1" customWidth="1"/>
    <col min="17" max="17" width="2.7109375" style="1" customWidth="1"/>
    <col min="18" max="18" width="11.42578125" style="1" hidden="1" customWidth="1"/>
    <col min="19" max="16384" width="11.42578125" style="1" hidden="1"/>
  </cols>
  <sheetData>
    <row r="1" spans="1:16" ht="16.5" thickBot="1" x14ac:dyDescent="0.3">
      <c r="A1" s="564" t="s">
        <v>196</v>
      </c>
      <c r="B1" s="565"/>
      <c r="C1" s="565"/>
      <c r="D1" s="565"/>
      <c r="E1" s="565"/>
      <c r="F1" s="565"/>
      <c r="G1" s="565"/>
      <c r="H1" s="565"/>
      <c r="I1" s="565"/>
      <c r="J1" s="565"/>
      <c r="K1" s="565"/>
      <c r="L1" s="565"/>
      <c r="M1" s="565"/>
      <c r="N1" s="565"/>
      <c r="O1" s="565"/>
      <c r="P1" s="566"/>
    </row>
    <row r="2" spans="1:16" x14ac:dyDescent="0.25">
      <c r="A2" s="567" t="s">
        <v>587</v>
      </c>
      <c r="B2" s="568"/>
      <c r="C2" s="568"/>
      <c r="D2" s="568"/>
      <c r="E2" s="568"/>
      <c r="F2" s="568"/>
      <c r="G2" s="568"/>
      <c r="H2" s="568"/>
      <c r="I2" s="568"/>
      <c r="J2" s="568"/>
      <c r="K2" s="568"/>
      <c r="L2" s="568"/>
      <c r="M2" s="568"/>
      <c r="N2" s="568"/>
      <c r="O2" s="568"/>
      <c r="P2" s="569"/>
    </row>
    <row r="3" spans="1:16" ht="15.75" thickBot="1" x14ac:dyDescent="0.3">
      <c r="A3" s="570"/>
      <c r="B3" s="571"/>
      <c r="C3" s="571"/>
      <c r="D3" s="571"/>
      <c r="E3" s="571"/>
      <c r="F3" s="571"/>
      <c r="G3" s="571"/>
      <c r="H3" s="571"/>
      <c r="I3" s="571"/>
      <c r="J3" s="571"/>
      <c r="K3" s="571"/>
      <c r="L3" s="571"/>
      <c r="M3" s="571"/>
      <c r="N3" s="571"/>
      <c r="O3" s="571"/>
      <c r="P3" s="572"/>
    </row>
    <row r="4" spans="1:16" ht="16.5" thickBot="1" x14ac:dyDescent="0.3">
      <c r="A4" s="573" t="s">
        <v>197</v>
      </c>
      <c r="B4" s="574"/>
      <c r="C4" s="574"/>
      <c r="D4" s="574"/>
      <c r="E4" s="574"/>
      <c r="F4" s="574"/>
      <c r="G4" s="574"/>
      <c r="H4" s="574"/>
      <c r="I4" s="574"/>
      <c r="J4" s="574"/>
      <c r="K4" s="574"/>
      <c r="L4" s="574"/>
      <c r="M4" s="574"/>
      <c r="N4" s="574"/>
      <c r="O4" s="574"/>
      <c r="P4" s="575"/>
    </row>
    <row r="5" spans="1:16" ht="32.25" customHeight="1" x14ac:dyDescent="0.25">
      <c r="A5" s="93">
        <v>1</v>
      </c>
      <c r="B5" s="582" t="s">
        <v>648</v>
      </c>
      <c r="C5" s="583"/>
      <c r="D5" s="583"/>
      <c r="E5" s="583"/>
      <c r="F5" s="583"/>
      <c r="G5" s="583"/>
      <c r="H5" s="583"/>
      <c r="I5" s="583"/>
      <c r="J5" s="583"/>
      <c r="K5" s="583"/>
      <c r="L5" s="583"/>
      <c r="M5" s="583"/>
      <c r="N5" s="583"/>
      <c r="O5" s="583"/>
      <c r="P5" s="584"/>
    </row>
    <row r="6" spans="1:16" ht="15.75" x14ac:dyDescent="0.25">
      <c r="A6" s="92">
        <v>2</v>
      </c>
      <c r="B6" s="585" t="s">
        <v>200</v>
      </c>
      <c r="C6" s="586"/>
      <c r="D6" s="586"/>
      <c r="E6" s="586"/>
      <c r="F6" s="586"/>
      <c r="G6" s="586"/>
      <c r="H6" s="586"/>
      <c r="I6" s="586"/>
      <c r="J6" s="586"/>
      <c r="K6" s="586"/>
      <c r="L6" s="586"/>
      <c r="M6" s="586"/>
      <c r="N6" s="586"/>
      <c r="O6" s="586"/>
      <c r="P6" s="587"/>
    </row>
    <row r="7" spans="1:16" ht="15.75" x14ac:dyDescent="0.25">
      <c r="A7" s="94">
        <v>3</v>
      </c>
      <c r="B7" s="585" t="s">
        <v>199</v>
      </c>
      <c r="C7" s="586"/>
      <c r="D7" s="586"/>
      <c r="E7" s="586"/>
      <c r="F7" s="586"/>
      <c r="G7" s="586"/>
      <c r="H7" s="586"/>
      <c r="I7" s="586"/>
      <c r="J7" s="586"/>
      <c r="K7" s="586"/>
      <c r="L7" s="586"/>
      <c r="M7" s="586"/>
      <c r="N7" s="586"/>
      <c r="O7" s="586"/>
      <c r="P7" s="587"/>
    </row>
    <row r="8" spans="1:16" ht="15.75" x14ac:dyDescent="0.25">
      <c r="A8" s="94">
        <v>4</v>
      </c>
      <c r="B8" s="585" t="s">
        <v>198</v>
      </c>
      <c r="C8" s="586"/>
      <c r="D8" s="586"/>
      <c r="E8" s="586"/>
      <c r="F8" s="586"/>
      <c r="G8" s="586"/>
      <c r="H8" s="586"/>
      <c r="I8" s="586"/>
      <c r="J8" s="586"/>
      <c r="K8" s="586"/>
      <c r="L8" s="586"/>
      <c r="M8" s="586"/>
      <c r="N8" s="586"/>
      <c r="O8" s="586"/>
      <c r="P8" s="587"/>
    </row>
    <row r="9" spans="1:16" ht="15.75" customHeight="1" x14ac:dyDescent="0.25">
      <c r="A9" s="576"/>
      <c r="B9" s="440" t="s">
        <v>635</v>
      </c>
      <c r="C9" s="580" t="s">
        <v>649</v>
      </c>
      <c r="D9" s="580"/>
      <c r="E9" s="580"/>
      <c r="F9" s="580"/>
      <c r="G9" s="580"/>
      <c r="H9" s="580"/>
      <c r="I9" s="580"/>
      <c r="J9" s="580"/>
      <c r="K9" s="580"/>
      <c r="L9" s="580"/>
      <c r="M9" s="580"/>
      <c r="N9" s="580"/>
      <c r="O9" s="580"/>
      <c r="P9" s="581"/>
    </row>
    <row r="10" spans="1:16" ht="15.75" x14ac:dyDescent="0.25">
      <c r="A10" s="577"/>
      <c r="B10" s="441" t="s">
        <v>636</v>
      </c>
      <c r="C10" s="346" t="s">
        <v>642</v>
      </c>
      <c r="D10" s="346"/>
      <c r="E10" s="346"/>
      <c r="F10" s="346"/>
      <c r="G10" s="346"/>
      <c r="H10" s="346"/>
      <c r="I10" s="346"/>
      <c r="J10" s="346"/>
      <c r="K10" s="346"/>
      <c r="L10" s="346"/>
      <c r="M10" s="346"/>
      <c r="N10" s="346"/>
      <c r="O10" s="346"/>
      <c r="P10" s="439"/>
    </row>
    <row r="11" spans="1:16" ht="15.75" x14ac:dyDescent="0.25">
      <c r="A11" s="577"/>
      <c r="B11" s="441" t="s">
        <v>637</v>
      </c>
      <c r="C11" s="578" t="s">
        <v>643</v>
      </c>
      <c r="D11" s="578"/>
      <c r="E11" s="578"/>
      <c r="F11" s="578"/>
      <c r="G11" s="578"/>
      <c r="H11" s="578"/>
      <c r="I11" s="578"/>
      <c r="J11" s="578"/>
      <c r="K11" s="578"/>
      <c r="L11" s="578"/>
      <c r="M11" s="578"/>
      <c r="N11" s="578"/>
      <c r="O11" s="578"/>
      <c r="P11" s="579"/>
    </row>
    <row r="12" spans="1:16" ht="15.75" x14ac:dyDescent="0.25">
      <c r="A12" s="577"/>
      <c r="B12" s="441" t="s">
        <v>638</v>
      </c>
      <c r="C12" s="578" t="s">
        <v>646</v>
      </c>
      <c r="D12" s="578"/>
      <c r="E12" s="578"/>
      <c r="F12" s="578"/>
      <c r="G12" s="578"/>
      <c r="H12" s="578"/>
      <c r="I12" s="578"/>
      <c r="J12" s="578"/>
      <c r="K12" s="578"/>
      <c r="L12" s="578"/>
      <c r="M12" s="578"/>
      <c r="N12" s="578"/>
      <c r="O12" s="578"/>
      <c r="P12" s="579"/>
    </row>
    <row r="13" spans="1:16" ht="15.75" x14ac:dyDescent="0.25">
      <c r="A13" s="577"/>
      <c r="B13" s="441" t="s">
        <v>639</v>
      </c>
      <c r="C13" s="578" t="s">
        <v>644</v>
      </c>
      <c r="D13" s="578"/>
      <c r="E13" s="578"/>
      <c r="F13" s="578"/>
      <c r="G13" s="578"/>
      <c r="H13" s="578"/>
      <c r="I13" s="578"/>
      <c r="J13" s="578"/>
      <c r="K13" s="578"/>
      <c r="L13" s="578"/>
      <c r="M13" s="578"/>
      <c r="N13" s="578"/>
      <c r="O13" s="578"/>
      <c r="P13" s="579"/>
    </row>
    <row r="14" spans="1:16" ht="15.75" x14ac:dyDescent="0.25">
      <c r="A14" s="577"/>
      <c r="B14" s="441" t="s">
        <v>640</v>
      </c>
      <c r="C14" s="578" t="s">
        <v>647</v>
      </c>
      <c r="D14" s="578"/>
      <c r="E14" s="578"/>
      <c r="F14" s="578"/>
      <c r="G14" s="578"/>
      <c r="H14" s="578"/>
      <c r="I14" s="578"/>
      <c r="J14" s="578"/>
      <c r="K14" s="578"/>
      <c r="L14" s="578"/>
      <c r="M14" s="578"/>
      <c r="N14" s="578"/>
      <c r="O14" s="578"/>
      <c r="P14" s="579"/>
    </row>
    <row r="15" spans="1:16" ht="16.5" thickBot="1" x14ac:dyDescent="0.3">
      <c r="A15" s="97"/>
      <c r="B15" s="442" t="s">
        <v>641</v>
      </c>
      <c r="C15" s="95" t="s">
        <v>645</v>
      </c>
      <c r="D15" s="95"/>
      <c r="E15" s="95"/>
      <c r="F15" s="95"/>
      <c r="G15" s="95"/>
      <c r="H15" s="95"/>
      <c r="I15" s="95"/>
      <c r="J15" s="95"/>
      <c r="K15" s="95"/>
      <c r="L15" s="95"/>
      <c r="M15" s="95"/>
      <c r="N15" s="95"/>
      <c r="O15" s="95"/>
      <c r="P15" s="96"/>
    </row>
    <row r="16" spans="1:16" ht="16.5" thickBot="1" x14ac:dyDescent="0.3">
      <c r="A16" s="588" t="s">
        <v>201</v>
      </c>
      <c r="B16" s="589"/>
      <c r="C16" s="589"/>
      <c r="D16" s="589"/>
      <c r="E16" s="589"/>
      <c r="F16" s="589"/>
      <c r="G16" s="589"/>
      <c r="H16" s="589"/>
      <c r="I16" s="589"/>
      <c r="J16" s="589"/>
      <c r="K16" s="589"/>
      <c r="L16" s="589"/>
      <c r="M16" s="589"/>
      <c r="N16" s="589"/>
      <c r="O16" s="589"/>
      <c r="P16" s="590"/>
    </row>
    <row r="17" spans="1:16" ht="303.75" customHeight="1" x14ac:dyDescent="0.25">
      <c r="A17" s="558" t="s">
        <v>650</v>
      </c>
      <c r="B17" s="559"/>
      <c r="C17" s="559"/>
      <c r="D17" s="559"/>
      <c r="E17" s="559"/>
      <c r="F17" s="559"/>
      <c r="G17" s="559"/>
      <c r="H17" s="559"/>
      <c r="I17" s="559"/>
      <c r="J17" s="559"/>
      <c r="K17" s="559"/>
      <c r="L17" s="559"/>
      <c r="M17" s="559"/>
      <c r="N17" s="559"/>
      <c r="O17" s="559"/>
      <c r="P17" s="560"/>
    </row>
    <row r="18" spans="1:16" ht="15.75" thickBot="1" x14ac:dyDescent="0.3">
      <c r="A18" s="561"/>
      <c r="B18" s="562"/>
      <c r="C18" s="562"/>
      <c r="D18" s="562"/>
      <c r="E18" s="562"/>
      <c r="F18" s="562"/>
      <c r="G18" s="562"/>
      <c r="H18" s="562"/>
      <c r="I18" s="562"/>
      <c r="J18" s="562"/>
      <c r="K18" s="562"/>
      <c r="L18" s="562"/>
      <c r="M18" s="562"/>
      <c r="N18" s="562"/>
      <c r="O18" s="562"/>
      <c r="P18" s="563"/>
    </row>
    <row r="19" spans="1:16" x14ac:dyDescent="0.25"/>
    <row r="40" x14ac:dyDescent="0.25"/>
  </sheetData>
  <sheetProtection algorithmName="SHA-512" hashValue="oLSZGtwNhRaBZyPKh7AeSxDV6hMAnvSWd7FaIRisHIQYfQv2DEX5H9Gskeuf0x3TK+KgQE4V5jAVP1v4zTmWhg==" saltValue="afZ2PeYEWgC0tfQHuUVuUQ==" spinCount="100000" sheet="1" objects="1" scenarios="1"/>
  <mergeCells count="15">
    <mergeCell ref="A17:P18"/>
    <mergeCell ref="A1:P1"/>
    <mergeCell ref="A2:P3"/>
    <mergeCell ref="A4:P4"/>
    <mergeCell ref="A9:A14"/>
    <mergeCell ref="C11:P11"/>
    <mergeCell ref="C12:P12"/>
    <mergeCell ref="C13:P13"/>
    <mergeCell ref="C14:P14"/>
    <mergeCell ref="C9:P9"/>
    <mergeCell ref="B5:P5"/>
    <mergeCell ref="B6:P6"/>
    <mergeCell ref="B7:P7"/>
    <mergeCell ref="B8:P8"/>
    <mergeCell ref="A16:P16"/>
  </mergeCells>
  <pageMargins left="0.7" right="0.7" top="0.75" bottom="0.75" header="0.3" footer="0.3"/>
  <pageSetup paperSize="9" scale="67"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C00000"/>
  </sheetPr>
  <dimension ref="A1:P333"/>
  <sheetViews>
    <sheetView showRowColHeaders="0" topLeftCell="B2" zoomScale="90" zoomScaleNormal="90" workbookViewId="0">
      <selection activeCell="E18" sqref="E18"/>
    </sheetView>
  </sheetViews>
  <sheetFormatPr baseColWidth="10" defaultColWidth="0" defaultRowHeight="15" zeroHeight="1" x14ac:dyDescent="0.25"/>
  <cols>
    <col min="1" max="1" width="69" style="21" hidden="1" customWidth="1"/>
    <col min="2" max="2" width="3" style="21" bestFit="1" customWidth="1"/>
    <col min="3" max="3" width="24" style="21" customWidth="1"/>
    <col min="4" max="4" width="63.5703125" style="21" hidden="1" customWidth="1"/>
    <col min="5" max="5" width="75.28515625" style="21" customWidth="1"/>
    <col min="6" max="6" width="21" style="21" customWidth="1"/>
    <col min="7" max="7" width="18.7109375" style="21" customWidth="1"/>
    <col min="8" max="8" width="19.140625" style="21" customWidth="1"/>
    <col min="9" max="9" width="22" style="21" customWidth="1"/>
    <col min="10" max="10" width="13.7109375" style="21" customWidth="1"/>
    <col min="11" max="12" width="11.42578125" style="21" customWidth="1"/>
    <col min="13" max="13" width="45.42578125" style="21" customWidth="1"/>
    <col min="14" max="14" width="3.5703125" style="21" customWidth="1"/>
    <col min="15" max="16" width="0" style="21" hidden="1" customWidth="1"/>
    <col min="17" max="16384" width="11.42578125" style="21" hidden="1"/>
  </cols>
  <sheetData>
    <row r="1" spans="1:16" hidden="1" x14ac:dyDescent="0.25">
      <c r="A1" s="21">
        <v>1</v>
      </c>
      <c r="B1" s="21">
        <v>2</v>
      </c>
      <c r="C1" s="21">
        <v>3</v>
      </c>
      <c r="D1" s="21">
        <v>4</v>
      </c>
      <c r="E1" s="21">
        <v>5</v>
      </c>
      <c r="F1" s="21">
        <v>6</v>
      </c>
      <c r="G1" s="21">
        <v>7</v>
      </c>
      <c r="H1" s="21">
        <v>8</v>
      </c>
      <c r="I1" s="21">
        <v>9</v>
      </c>
    </row>
    <row r="2" spans="1:16" x14ac:dyDescent="0.25">
      <c r="B2" s="597" t="s">
        <v>528</v>
      </c>
      <c r="C2" s="598"/>
      <c r="D2" s="598"/>
      <c r="E2" s="598"/>
      <c r="F2" s="598"/>
      <c r="G2" s="598"/>
      <c r="H2" s="598"/>
      <c r="I2" s="599"/>
    </row>
    <row r="3" spans="1:16" ht="59.25" customHeight="1" x14ac:dyDescent="0.25">
      <c r="A3" s="231" t="s">
        <v>425</v>
      </c>
      <c r="B3" s="244" t="s">
        <v>472</v>
      </c>
      <c r="C3" s="231" t="s">
        <v>443</v>
      </c>
      <c r="D3" s="231" t="s">
        <v>462</v>
      </c>
      <c r="E3" s="231" t="s">
        <v>588</v>
      </c>
      <c r="F3" s="255" t="s">
        <v>573</v>
      </c>
      <c r="G3" s="255" t="s">
        <v>483</v>
      </c>
      <c r="H3" s="238" t="s">
        <v>473</v>
      </c>
      <c r="I3" s="255" t="s">
        <v>563</v>
      </c>
      <c r="O3" s="1"/>
    </row>
    <row r="4" spans="1:16" ht="15" customHeight="1" x14ac:dyDescent="0.25">
      <c r="A4"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Fibrocemento ρ = 1250 kg/m³; μ = 194; e=0,006 m</v>
      </c>
      <c r="B4" s="300">
        <v>1</v>
      </c>
      <c r="C4" s="329" t="s">
        <v>417</v>
      </c>
      <c r="D4" s="98" t="str">
        <f>VLOOKUP(Materiales[[#This Row],[Origen de datos]],Aux!$AP$8:$AQ$14,2,FALSE)</f>
        <v>Ensayados[Material]</v>
      </c>
      <c r="E4" s="329" t="s">
        <v>866</v>
      </c>
      <c r="F4" s="311" t="s">
        <v>871</v>
      </c>
      <c r="G4" s="552">
        <v>6.0000000000000001E-3</v>
      </c>
      <c r="H4" s="552">
        <v>0.22</v>
      </c>
      <c r="I4"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194</v>
      </c>
      <c r="J4" s="303" t="s">
        <v>488</v>
      </c>
      <c r="K4" s="21" t="s">
        <v>485</v>
      </c>
      <c r="P4" s="1"/>
    </row>
    <row r="5" spans="1:16" ht="15" customHeight="1" x14ac:dyDescent="0.25">
      <c r="A5"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Fieltro M-3: 15 Libras; μ = 294; e=0,00037 m</v>
      </c>
      <c r="B5" s="300">
        <v>2</v>
      </c>
      <c r="C5" s="329" t="s">
        <v>417</v>
      </c>
      <c r="D5" s="98" t="str">
        <f>VLOOKUP(Materiales[[#This Row],[Origen de datos]],Aux!$AP$8:$AQ$14,2,FALSE)</f>
        <v>Ensayados[Material]</v>
      </c>
      <c r="E5" s="329" t="s">
        <v>429</v>
      </c>
      <c r="F5" s="311" t="s">
        <v>872</v>
      </c>
      <c r="G5" s="552">
        <v>3.6999999999999999E-4</v>
      </c>
      <c r="H5" s="552">
        <v>0.19</v>
      </c>
      <c r="I5"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294</v>
      </c>
      <c r="J5" s="303" t="s">
        <v>492</v>
      </c>
      <c r="K5" s="21" t="s">
        <v>493</v>
      </c>
      <c r="P5" s="1"/>
    </row>
    <row r="6" spans="1:16" ht="15" customHeight="1" x14ac:dyDescent="0.25">
      <c r="A6"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Lana vidrio en rollo ρ = 12 kg/m³; μ = 2,488; e=0,12 m</v>
      </c>
      <c r="B6" s="300">
        <v>3</v>
      </c>
      <c r="C6" s="329" t="s">
        <v>417</v>
      </c>
      <c r="D6" s="98" t="str">
        <f>VLOOKUP(Materiales[[#This Row],[Origen de datos]],Aux!$AP$8:$AQ$14,2,FALSE)</f>
        <v>Ensayados[Material]</v>
      </c>
      <c r="E6" s="329" t="s">
        <v>830</v>
      </c>
      <c r="F6" s="311" t="s">
        <v>873</v>
      </c>
      <c r="G6" s="552">
        <v>0.12</v>
      </c>
      <c r="H6" s="552">
        <v>4.1000000000000002E-2</v>
      </c>
      <c r="I6"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2,488</v>
      </c>
      <c r="J6" s="303" t="s">
        <v>489</v>
      </c>
      <c r="K6" s="21" t="s">
        <v>484</v>
      </c>
      <c r="P6" s="1"/>
    </row>
    <row r="7" spans="1:16" ht="15" customHeight="1" x14ac:dyDescent="0.25">
      <c r="A7"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OSB  ρ = 648 kg/m³; μ = 371; e=0,0111 m</v>
      </c>
      <c r="B7" s="300">
        <v>4</v>
      </c>
      <c r="C7" s="329" t="s">
        <v>417</v>
      </c>
      <c r="D7" s="98" t="str">
        <f>VLOOKUP(Materiales[[#This Row],[Origen de datos]],Aux!$AP$8:$AQ$14,2,FALSE)</f>
        <v>Ensayados[Material]</v>
      </c>
      <c r="E7" s="329" t="s">
        <v>832</v>
      </c>
      <c r="F7" s="311" t="s">
        <v>29</v>
      </c>
      <c r="G7" s="552">
        <v>1.11E-2</v>
      </c>
      <c r="H7" s="552">
        <v>0.12</v>
      </c>
      <c r="I7"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371</v>
      </c>
      <c r="J7" s="303" t="s">
        <v>490</v>
      </c>
      <c r="K7" s="21" t="s">
        <v>486</v>
      </c>
      <c r="P7" s="1"/>
    </row>
    <row r="8" spans="1:16" ht="15" customHeight="1" x14ac:dyDescent="0.25">
      <c r="A8"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Pintura látex acrílico (10 micras); μ = 33440; e=0,000000001 m</v>
      </c>
      <c r="B8" s="300">
        <v>5</v>
      </c>
      <c r="C8" s="329" t="s">
        <v>417</v>
      </c>
      <c r="D8" s="98" t="str">
        <f>VLOOKUP(Materiales[[#This Row],[Origen de datos]],Aux!$AP$8:$AQ$14,2,FALSE)</f>
        <v>Ensayados[Material]</v>
      </c>
      <c r="E8" s="329" t="s">
        <v>838</v>
      </c>
      <c r="F8" s="311" t="s">
        <v>874</v>
      </c>
      <c r="G8" s="552">
        <v>1.0000000000000001E-9</v>
      </c>
      <c r="H8" s="552">
        <v>1000</v>
      </c>
      <c r="I8"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33440</v>
      </c>
      <c r="J8" s="303" t="s">
        <v>491</v>
      </c>
      <c r="K8" s="21" t="s">
        <v>487</v>
      </c>
      <c r="P8" s="1"/>
    </row>
    <row r="9" spans="1:16" ht="15" customHeight="1" x14ac:dyDescent="0.25">
      <c r="A9"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Pino insigne  ρ = 410 kg/m³; μ = 64; e=0,125 m</v>
      </c>
      <c r="B9" s="300">
        <v>6</v>
      </c>
      <c r="C9" s="329" t="s">
        <v>417</v>
      </c>
      <c r="D9" s="98" t="str">
        <f>VLOOKUP(Materiales[[#This Row],[Origen de datos]],Aux!$AP$8:$AQ$14,2,FALSE)</f>
        <v>Ensayados[Material]</v>
      </c>
      <c r="E9" s="329" t="s">
        <v>834</v>
      </c>
      <c r="F9" s="311" t="s">
        <v>453</v>
      </c>
      <c r="G9" s="552">
        <v>0.125</v>
      </c>
      <c r="H9" s="552">
        <v>0.104</v>
      </c>
      <c r="I9"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64</v>
      </c>
      <c r="J9" s="303" t="s">
        <v>728</v>
      </c>
      <c r="K9" s="21" t="s">
        <v>729</v>
      </c>
      <c r="P9" s="1"/>
    </row>
    <row r="10" spans="1:16" ht="15" customHeight="1" x14ac:dyDescent="0.25">
      <c r="A10"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Polietileno; μ = 151800; e=0,0002 m</v>
      </c>
      <c r="B10" s="300">
        <v>7</v>
      </c>
      <c r="C10" s="329" t="s">
        <v>417</v>
      </c>
      <c r="D10" s="98" t="str">
        <f>VLOOKUP(Materiales[[#This Row],[Origen de datos]],Aux!$AP$8:$AQ$14,2,FALSE)</f>
        <v>Ensayados[Material]</v>
      </c>
      <c r="E10" s="329" t="s">
        <v>190</v>
      </c>
      <c r="F10" s="311" t="s">
        <v>875</v>
      </c>
      <c r="G10" s="552">
        <v>2.0000000000000001E-4</v>
      </c>
      <c r="H10" s="552">
        <v>0.33</v>
      </c>
      <c r="I10"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151800</v>
      </c>
      <c r="J10" s="240"/>
    </row>
    <row r="11" spans="1:16" ht="15" customHeight="1" x14ac:dyDescent="0.25">
      <c r="A11"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Revestimiento exterior de fibrocemento tinglado; μ = 139,189; e=0,006 m</v>
      </c>
      <c r="B11" s="300">
        <v>8</v>
      </c>
      <c r="C11" s="329" t="s">
        <v>417</v>
      </c>
      <c r="D11" s="98" t="str">
        <f>VLOOKUP(Materiales[[#This Row],[Origen de datos]],Aux!$AP$8:$AQ$14,2,FALSE)</f>
        <v>Ensayados[Material]</v>
      </c>
      <c r="E11" s="329" t="s">
        <v>844</v>
      </c>
      <c r="F11" s="311" t="s">
        <v>876</v>
      </c>
      <c r="G11" s="552">
        <v>6.0000000000000001E-3</v>
      </c>
      <c r="H11" s="552">
        <v>0.22</v>
      </c>
      <c r="I11"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139,189</v>
      </c>
      <c r="J11" s="240"/>
    </row>
    <row r="12" spans="1:16" ht="15" customHeight="1" x14ac:dyDescent="0.25">
      <c r="A12"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Tyvek homewrap; μ = 1761,429; e=0,0002 m</v>
      </c>
      <c r="B12" s="300">
        <v>9</v>
      </c>
      <c r="C12" s="329" t="s">
        <v>417</v>
      </c>
      <c r="D12" s="98" t="str">
        <f>VLOOKUP(Materiales[[#This Row],[Origen de datos]],Aux!$AP$8:$AQ$14,2,FALSE)</f>
        <v>Ensayados[Material]</v>
      </c>
      <c r="E12" s="329" t="s">
        <v>845</v>
      </c>
      <c r="F12" s="311" t="s">
        <v>877</v>
      </c>
      <c r="G12" s="552">
        <v>2.0000000000000001E-4</v>
      </c>
      <c r="H12" s="552">
        <v>0.33</v>
      </c>
      <c r="I12"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1761,429</v>
      </c>
      <c r="J12" s="240"/>
    </row>
    <row r="13" spans="1:16" ht="15" customHeight="1" x14ac:dyDescent="0.25">
      <c r="A13"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Terciado ranurado  ρ = 570 kg/m³; μ = 293; e=0,006 m</v>
      </c>
      <c r="B13" s="300">
        <v>10</v>
      </c>
      <c r="C13" s="329" t="s">
        <v>417</v>
      </c>
      <c r="D13" s="98" t="str">
        <f>VLOOKUP(Materiales[[#This Row],[Origen de datos]],Aux!$AP$8:$AQ$14,2,FALSE)</f>
        <v>Ensayados[Material]</v>
      </c>
      <c r="E13" s="329" t="s">
        <v>849</v>
      </c>
      <c r="F13" s="311" t="s">
        <v>878</v>
      </c>
      <c r="G13" s="552">
        <v>6.0000000000000001E-3</v>
      </c>
      <c r="H13" s="552">
        <v>0.13</v>
      </c>
      <c r="I13"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293</v>
      </c>
      <c r="J13" s="240"/>
    </row>
    <row r="14" spans="1:16" ht="15" customHeight="1" x14ac:dyDescent="0.25">
      <c r="A14"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Yeso Cartón ST ρ = 750 kg/m³; μ = 20; e=0,01 m</v>
      </c>
      <c r="B14" s="300">
        <v>11</v>
      </c>
      <c r="C14" s="329" t="s">
        <v>417</v>
      </c>
      <c r="D14" s="98" t="str">
        <f>VLOOKUP(Materiales[[#This Row],[Origen de datos]],Aux!$AP$8:$AQ$14,2,FALSE)</f>
        <v>Ensayados[Material]</v>
      </c>
      <c r="E14" s="329" t="s">
        <v>850</v>
      </c>
      <c r="F14" s="311" t="s">
        <v>879</v>
      </c>
      <c r="G14" s="552">
        <v>0.01</v>
      </c>
      <c r="H14" s="552">
        <v>0.24</v>
      </c>
      <c r="I14"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20</v>
      </c>
      <c r="J14" s="240"/>
    </row>
    <row r="15" spans="1:16" ht="15" customHeight="1" x14ac:dyDescent="0.25">
      <c r="A15"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Cámara de aire no ventilada, E = 0,82; μ = 1; e=0,005 m</v>
      </c>
      <c r="B15" s="300">
        <v>12</v>
      </c>
      <c r="C15" s="329" t="s">
        <v>471</v>
      </c>
      <c r="D15" s="98" t="str">
        <f>VLOOKUP(Materiales[[#This Row],[Origen de datos]],Aux!$AP$8:$AQ$14,2,FALSE)</f>
        <v>NCh_853[Material]</v>
      </c>
      <c r="E15" s="329" t="s">
        <v>466</v>
      </c>
      <c r="F15" s="311" t="s">
        <v>50</v>
      </c>
      <c r="G15" s="552">
        <v>5.0000000000000001E-3</v>
      </c>
      <c r="H15" s="552"/>
      <c r="I15"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1</v>
      </c>
      <c r="J15" s="240"/>
    </row>
    <row r="16" spans="1:16" ht="15" customHeight="1" x14ac:dyDescent="0.25">
      <c r="A16"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EPS ρ = 10 kg/m³ - archipex; μ = 31; e=0,12 m</v>
      </c>
      <c r="B16" s="300">
        <v>13</v>
      </c>
      <c r="C16" s="329" t="s">
        <v>417</v>
      </c>
      <c r="D16" s="98" t="str">
        <f>VLOOKUP(Materiales[[#This Row],[Origen de datos]],Aux!$AP$8:$AQ$14,2,FALSE)</f>
        <v>Ensayados[Material]</v>
      </c>
      <c r="E16" s="329" t="s">
        <v>816</v>
      </c>
      <c r="F16" s="311" t="s">
        <v>883</v>
      </c>
      <c r="G16" s="552">
        <v>0.12</v>
      </c>
      <c r="H16" s="552">
        <v>4.2999999999999997E-2</v>
      </c>
      <c r="I16" s="239" t="str">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μ = 31</v>
      </c>
      <c r="J16" s="240"/>
    </row>
    <row r="17" spans="1:14" ht="15" customHeight="1" x14ac:dyDescent="0.25">
      <c r="A17"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v>
      </c>
      <c r="B17" s="300">
        <v>14</v>
      </c>
      <c r="C17" s="329"/>
      <c r="D17" s="98" t="e">
        <f>VLOOKUP(Materiales[[#This Row],[Origen de datos]],Aux!$AP$8:$AQ$14,2,FALSE)</f>
        <v>#N/A</v>
      </c>
      <c r="E17" s="329"/>
      <c r="F17" s="311"/>
      <c r="G17" s="552"/>
      <c r="H17" s="552"/>
      <c r="I17" s="239" t="e">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#N/A</v>
      </c>
      <c r="J17" s="240"/>
    </row>
    <row r="18" spans="1:14" ht="15" customHeight="1" x14ac:dyDescent="0.25">
      <c r="A18"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v>
      </c>
      <c r="B18" s="300">
        <v>15</v>
      </c>
      <c r="C18" s="329"/>
      <c r="D18" s="98" t="e">
        <f>VLOOKUP(Materiales[[#This Row],[Origen de datos]],Aux!$AP$8:$AQ$14,2,FALSE)</f>
        <v>#N/A</v>
      </c>
      <c r="E18" s="329"/>
      <c r="F18" s="311"/>
      <c r="G18" s="552"/>
      <c r="H18" s="552"/>
      <c r="I18" s="239" t="e">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#N/A</v>
      </c>
      <c r="J18" s="240"/>
    </row>
    <row r="19" spans="1:14" ht="15" customHeight="1" x14ac:dyDescent="0.25">
      <c r="A19"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v>
      </c>
      <c r="B19" s="300">
        <v>16</v>
      </c>
      <c r="C19" s="329"/>
      <c r="D19" s="98" t="e">
        <f>VLOOKUP(Materiales[[#This Row],[Origen de datos]],Aux!$AP$8:$AQ$14,2,FALSE)</f>
        <v>#N/A</v>
      </c>
      <c r="E19" s="329"/>
      <c r="F19" s="311"/>
      <c r="G19" s="552"/>
      <c r="H19" s="552"/>
      <c r="I19" s="239" t="e">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#N/A</v>
      </c>
      <c r="J19" s="240"/>
    </row>
    <row r="20" spans="1:14" ht="15" customHeight="1" x14ac:dyDescent="0.25">
      <c r="A20"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v>
      </c>
      <c r="B20" s="300">
        <v>17</v>
      </c>
      <c r="C20" s="329"/>
      <c r="D20" s="98" t="e">
        <f>VLOOKUP(Materiales[[#This Row],[Origen de datos]],Aux!$AP$8:$AQ$14,2,FALSE)</f>
        <v>#N/A</v>
      </c>
      <c r="E20" s="329"/>
      <c r="F20" s="311"/>
      <c r="G20" s="552"/>
      <c r="H20" s="552"/>
      <c r="I20" s="239" t="e">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#N/A</v>
      </c>
      <c r="J20" s="240"/>
    </row>
    <row r="21" spans="1:14" ht="15" customHeight="1" x14ac:dyDescent="0.25">
      <c r="A21"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v>
      </c>
      <c r="B21" s="300">
        <v>18</v>
      </c>
      <c r="C21" s="329"/>
      <c r="D21" s="98" t="e">
        <f>VLOOKUP(Materiales[[#This Row],[Origen de datos]],Aux!$AP$8:$AQ$14,2,FALSE)</f>
        <v>#N/A</v>
      </c>
      <c r="E21" s="329"/>
      <c r="F21" s="311"/>
      <c r="G21" s="552"/>
      <c r="H21" s="552"/>
      <c r="I21" s="239" t="e">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#N/A</v>
      </c>
      <c r="J21" s="240"/>
    </row>
    <row r="22" spans="1:14" ht="15" customHeight="1" x14ac:dyDescent="0.25">
      <c r="A22"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v>
      </c>
      <c r="B22" s="300">
        <v>19</v>
      </c>
      <c r="C22" s="329"/>
      <c r="D22" s="98" t="e">
        <f>VLOOKUP(Materiales[[#This Row],[Origen de datos]],Aux!$AP$8:$AQ$14,2,FALSE)</f>
        <v>#N/A</v>
      </c>
      <c r="E22" s="329"/>
      <c r="F22" s="311"/>
      <c r="G22" s="552"/>
      <c r="H22" s="552"/>
      <c r="I22" s="239" t="e">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#N/A</v>
      </c>
      <c r="J22" s="240"/>
    </row>
    <row r="23" spans="1:14" ht="15" customHeight="1" x14ac:dyDescent="0.25">
      <c r="A23" s="310" t="str">
        <f>IF(OR(ISBLANK(Materiales[[#This Row],[Material y/o descripción]]),ISBLANK(Materiales[[#This Row],[Propiedad de la difusión de vapor de agua y su valor]]),ISBLANK(Materiales[[#This Row],[Espesor
m]]),ISERROR(Materiales[[#This Row],[Propiedad de la difusión de vapor de agua y su valor]])),"-",Materiales[[#This Row],[Material y/o descripción]]&amp;"; "&amp;Materiales[[#This Row],[Propiedad de la difusión de vapor de agua y su valor]]&amp;"; e="&amp;Materiales[[#This Row],[Espesor
m]]&amp;" m")</f>
        <v>-</v>
      </c>
      <c r="B23" s="300">
        <v>20</v>
      </c>
      <c r="C23" s="329"/>
      <c r="D23" s="98" t="e">
        <f>VLOOKUP(Materiales[[#This Row],[Origen de datos]],Aux!$AP$8:$AQ$14,2,FALSE)</f>
        <v>#N/A</v>
      </c>
      <c r="E23" s="329"/>
      <c r="F23" s="311"/>
      <c r="G23" s="552"/>
      <c r="H23" s="552"/>
      <c r="I23" s="239" t="e">
        <f>CHOOSE(VLOOKUP(Materiales[[#This Row],[Lista origen]],Aux!$AQ$8:$AR$14,2,FALSE),IF(OR(ISBLANK(VLOOKUP(Materiales[[#This Row],[Material y/o descripción]],Usuario[],4,FALSE)),ISBLANK(VLOOKUP(Materiales[[#This Row],[Material y/o descripción]],Usuario[],5,FALSE))),NA(),VLOOKUP(VLOOKUP(Materiales[[#This Row],[Material y/o descripción]],Usuario[],4,FALSE),Aux!$AS$17:$AU$23,3,FALSE)&amp;" = "&amp;VLOOKUP(Materiales[[#This Row],[Material y/o descripción]],Usuario[],5,FALSE))&amp;" "&amp;VLOOKUP(VLOOKUP(Materiales[[#This Row],[Material y/o descripción]],Usuario[],4,FALSE),Aux!$AS$17:$AU$23,2,FALSE),"μ = "&amp;VLOOKUP(Materiales[[#This Row],[Material y/o descripción]],Ensayados[],5,FALSE),"μ = "&amp;VLOOKUP(Materiales[[#This Row],[Material y/o descripción]],NCh_853[],3,FALSE),"δp = "&amp;TEXT(VLOOKUP(Materiales[[#This Row],[Material y/o descripción]],IRAM11606_TA6[],3,FALSE),"0,000E+00")&amp;" kg/msPa","μ = "&amp;VLOOKUP(Materiales[[#This Row],[Material y/o descripción]],ISO10456_T3[[Nombre para mostrar]:[factor de resistencia al vapor de agua
μ
seco]],6,FALSE),"μ = "&amp;VLOOKUP(Materiales[[#This Row],[Material y/o descripción]],ISO10456_T4[],4,FALSE),"Sd = "&amp;VLOOKUP(Materiales[[#This Row],[Material y/o descripción]],ISO10456_T5[],2,FALSE)&amp;" m")</f>
        <v>#N/A</v>
      </c>
      <c r="J23" s="240"/>
      <c r="N23" s="226"/>
    </row>
    <row r="24" spans="1:14" ht="60.75" customHeight="1" x14ac:dyDescent="0.25">
      <c r="B24" s="605" t="s">
        <v>577</v>
      </c>
      <c r="C24" s="605"/>
      <c r="D24" s="605"/>
      <c r="E24" s="605"/>
      <c r="F24" s="605"/>
      <c r="G24" s="605"/>
      <c r="H24" s="605"/>
      <c r="I24" s="605"/>
    </row>
    <row r="25" spans="1:14" ht="25.5" customHeight="1" x14ac:dyDescent="0.35">
      <c r="A25" s="343" t="s">
        <v>589</v>
      </c>
      <c r="B25" s="610" t="s">
        <v>589</v>
      </c>
      <c r="C25" s="610"/>
      <c r="D25" s="610"/>
      <c r="E25" s="610"/>
      <c r="F25" s="610"/>
      <c r="G25" s="610"/>
      <c r="H25" s="610"/>
      <c r="I25" s="610"/>
      <c r="J25" s="610"/>
      <c r="K25" s="610"/>
      <c r="L25" s="344"/>
      <c r="M25" s="344"/>
      <c r="N25" s="344"/>
    </row>
    <row r="26" spans="1:14" x14ac:dyDescent="0.25"/>
    <row r="27" spans="1:14" x14ac:dyDescent="0.25">
      <c r="E27" s="594" t="s">
        <v>463</v>
      </c>
      <c r="F27" s="594"/>
      <c r="G27" s="594"/>
      <c r="H27" s="594"/>
      <c r="I27" s="594"/>
    </row>
    <row r="28" spans="1:14" ht="60" x14ac:dyDescent="0.25">
      <c r="E28" s="244" t="s">
        <v>444</v>
      </c>
      <c r="F28" s="312" t="s">
        <v>483</v>
      </c>
      <c r="G28" s="238" t="s">
        <v>473</v>
      </c>
      <c r="H28" s="255" t="s">
        <v>575</v>
      </c>
      <c r="I28" s="255" t="s">
        <v>542</v>
      </c>
      <c r="J28" s="247"/>
    </row>
    <row r="29" spans="1:14" x14ac:dyDescent="0.25">
      <c r="E29" s="324"/>
      <c r="F29" s="313"/>
      <c r="G29" s="313"/>
      <c r="H29" s="313"/>
      <c r="I29" s="313"/>
      <c r="J29" s="303" t="s">
        <v>488</v>
      </c>
      <c r="K29" s="21" t="s">
        <v>485</v>
      </c>
    </row>
    <row r="30" spans="1:14" x14ac:dyDescent="0.25">
      <c r="E30" s="324"/>
      <c r="F30" s="313"/>
      <c r="G30" s="313"/>
      <c r="H30" s="313"/>
      <c r="I30" s="313"/>
      <c r="J30" s="303" t="s">
        <v>492</v>
      </c>
      <c r="K30" s="21" t="s">
        <v>493</v>
      </c>
    </row>
    <row r="31" spans="1:14" x14ac:dyDescent="0.25">
      <c r="E31" s="324"/>
      <c r="F31" s="313"/>
      <c r="G31" s="313"/>
      <c r="H31" s="313"/>
      <c r="I31" s="313"/>
      <c r="J31" s="303" t="s">
        <v>489</v>
      </c>
      <c r="K31" s="21" t="s">
        <v>484</v>
      </c>
    </row>
    <row r="32" spans="1:14" x14ac:dyDescent="0.25">
      <c r="E32" s="324"/>
      <c r="F32" s="313"/>
      <c r="G32" s="313"/>
      <c r="H32" s="313"/>
      <c r="I32" s="313"/>
      <c r="J32" s="303" t="s">
        <v>490</v>
      </c>
      <c r="K32" s="21" t="s">
        <v>486</v>
      </c>
    </row>
    <row r="33" spans="5:11" x14ac:dyDescent="0.25">
      <c r="E33" s="324"/>
      <c r="F33" s="313"/>
      <c r="G33" s="313"/>
      <c r="H33" s="313"/>
      <c r="I33" s="313"/>
      <c r="J33" s="303" t="s">
        <v>491</v>
      </c>
      <c r="K33" s="21" t="s">
        <v>487</v>
      </c>
    </row>
    <row r="34" spans="5:11" x14ac:dyDescent="0.25">
      <c r="E34" s="324"/>
      <c r="F34" s="313"/>
      <c r="G34" s="313"/>
      <c r="H34" s="313"/>
      <c r="I34" s="313"/>
    </row>
    <row r="35" spans="5:11" x14ac:dyDescent="0.25">
      <c r="E35" s="324"/>
      <c r="F35" s="313"/>
      <c r="G35" s="313"/>
      <c r="H35" s="313"/>
      <c r="I35" s="313"/>
    </row>
    <row r="36" spans="5:11" x14ac:dyDescent="0.25">
      <c r="E36" s="324"/>
      <c r="F36" s="313"/>
      <c r="G36" s="313"/>
      <c r="H36" s="313"/>
      <c r="I36" s="313"/>
    </row>
    <row r="37" spans="5:11" x14ac:dyDescent="0.25">
      <c r="E37" s="324"/>
      <c r="F37" s="313"/>
      <c r="G37" s="313"/>
      <c r="H37" s="313"/>
      <c r="I37" s="313"/>
      <c r="J37" s="301"/>
    </row>
    <row r="38" spans="5:11" x14ac:dyDescent="0.25">
      <c r="E38" s="324"/>
      <c r="F38" s="313"/>
      <c r="G38" s="313"/>
      <c r="H38" s="313"/>
      <c r="I38" s="313"/>
      <c r="J38" s="301"/>
    </row>
    <row r="39" spans="5:11" x14ac:dyDescent="0.25">
      <c r="E39" s="324"/>
      <c r="F39" s="313"/>
      <c r="G39" s="313"/>
      <c r="H39" s="313"/>
      <c r="I39" s="313"/>
      <c r="J39" s="301"/>
    </row>
    <row r="40" spans="5:11" x14ac:dyDescent="0.25">
      <c r="E40" s="324"/>
      <c r="F40" s="313"/>
      <c r="G40" s="313"/>
      <c r="H40" s="313"/>
      <c r="I40" s="313"/>
      <c r="J40" s="301"/>
    </row>
    <row r="41" spans="5:11" x14ac:dyDescent="0.25">
      <c r="E41" s="324"/>
      <c r="F41" s="313"/>
      <c r="G41" s="313"/>
      <c r="H41" s="313"/>
      <c r="I41" s="313"/>
      <c r="J41" s="301"/>
    </row>
    <row r="42" spans="5:11" x14ac:dyDescent="0.25">
      <c r="E42" s="324"/>
      <c r="F42" s="313"/>
      <c r="G42" s="313"/>
      <c r="H42" s="313"/>
      <c r="I42" s="313"/>
      <c r="J42" s="301"/>
    </row>
    <row r="43" spans="5:11" x14ac:dyDescent="0.25">
      <c r="E43" s="324"/>
      <c r="F43" s="313"/>
      <c r="G43" s="313"/>
      <c r="H43" s="313"/>
      <c r="I43" s="313"/>
      <c r="J43" s="301"/>
    </row>
    <row r="44" spans="5:11" x14ac:dyDescent="0.25"/>
    <row r="45" spans="5:11" x14ac:dyDescent="0.25">
      <c r="E45" s="597" t="s">
        <v>854</v>
      </c>
      <c r="F45" s="598"/>
      <c r="G45" s="598"/>
      <c r="H45" s="598"/>
      <c r="I45" s="599"/>
    </row>
    <row r="46" spans="5:11" ht="70.5" customHeight="1" x14ac:dyDescent="0.25">
      <c r="E46" s="228" t="s">
        <v>355</v>
      </c>
      <c r="F46" s="548" t="s">
        <v>195</v>
      </c>
      <c r="G46" s="230" t="s">
        <v>481</v>
      </c>
      <c r="H46" s="549" t="s">
        <v>482</v>
      </c>
      <c r="I46" s="549" t="s">
        <v>430</v>
      </c>
    </row>
    <row r="47" spans="5:11" x14ac:dyDescent="0.25">
      <c r="E47" s="260" t="s">
        <v>812</v>
      </c>
      <c r="F47" s="258">
        <v>1E-3</v>
      </c>
      <c r="G47" s="550">
        <v>0.3</v>
      </c>
      <c r="H47" s="551">
        <v>300000000000</v>
      </c>
      <c r="I47" s="285">
        <v>60</v>
      </c>
    </row>
    <row r="48" spans="5:11" x14ac:dyDescent="0.25">
      <c r="E48" s="260" t="s">
        <v>857</v>
      </c>
      <c r="F48" s="258">
        <v>4.3999999999999997E-2</v>
      </c>
      <c r="G48" s="550">
        <v>0.74576271186440679</v>
      </c>
      <c r="H48" s="551">
        <v>16949152542.372881</v>
      </c>
      <c r="I48" s="285">
        <v>3.3898305084745761</v>
      </c>
    </row>
    <row r="49" spans="5:9" x14ac:dyDescent="0.25">
      <c r="E49" s="553" t="s">
        <v>813</v>
      </c>
      <c r="F49" s="554">
        <v>0.04</v>
      </c>
      <c r="G49" s="555">
        <v>3.2165999999999997</v>
      </c>
      <c r="H49" s="556">
        <v>80414999999.999985</v>
      </c>
      <c r="I49" s="557">
        <v>16.082999999999998</v>
      </c>
    </row>
    <row r="50" spans="5:9" x14ac:dyDescent="0.25">
      <c r="E50" s="260" t="s">
        <v>858</v>
      </c>
      <c r="F50" s="258">
        <v>1.2999999999999999E-2</v>
      </c>
      <c r="G50" s="550">
        <v>20</v>
      </c>
      <c r="H50" s="551">
        <v>1538461538461.5386</v>
      </c>
      <c r="I50" s="285">
        <v>307.69230769230774</v>
      </c>
    </row>
    <row r="51" spans="5:9" x14ac:dyDescent="0.25">
      <c r="E51" s="553" t="s">
        <v>814</v>
      </c>
      <c r="F51" s="554">
        <v>3.0000000000000001E-3</v>
      </c>
      <c r="G51" s="555">
        <v>2.0141550000000001</v>
      </c>
      <c r="H51" s="556">
        <v>671384999999.99988</v>
      </c>
      <c r="I51" s="557">
        <v>134.27699999999999</v>
      </c>
    </row>
    <row r="52" spans="5:9" x14ac:dyDescent="0.25">
      <c r="E52" s="553" t="s">
        <v>815</v>
      </c>
      <c r="F52" s="554">
        <v>3.0000000000000001E-3</v>
      </c>
      <c r="G52" s="555">
        <v>3.104565</v>
      </c>
      <c r="H52" s="556">
        <v>1034854999999.9999</v>
      </c>
      <c r="I52" s="557">
        <v>206.971</v>
      </c>
    </row>
    <row r="53" spans="5:9" x14ac:dyDescent="0.25">
      <c r="E53" s="553" t="s">
        <v>816</v>
      </c>
      <c r="F53" s="554">
        <v>0.05</v>
      </c>
      <c r="G53" s="555">
        <v>6.9444444444444438</v>
      </c>
      <c r="H53" s="556">
        <v>138888888888.88885</v>
      </c>
      <c r="I53" s="557">
        <v>31</v>
      </c>
    </row>
    <row r="54" spans="5:9" x14ac:dyDescent="0.25">
      <c r="E54" s="553" t="s">
        <v>817</v>
      </c>
      <c r="F54" s="554">
        <v>0.05</v>
      </c>
      <c r="G54" s="555">
        <v>8.064516129032258</v>
      </c>
      <c r="H54" s="556">
        <v>161290322580.64514</v>
      </c>
      <c r="I54" s="557">
        <v>35</v>
      </c>
    </row>
    <row r="55" spans="5:9" x14ac:dyDescent="0.25">
      <c r="E55" s="553" t="s">
        <v>818</v>
      </c>
      <c r="F55" s="554">
        <v>0.05</v>
      </c>
      <c r="G55" s="555">
        <v>8.6206896551724146</v>
      </c>
      <c r="H55" s="556">
        <v>172413793103.44827</v>
      </c>
      <c r="I55" s="557">
        <v>38</v>
      </c>
    </row>
    <row r="56" spans="5:9" x14ac:dyDescent="0.25">
      <c r="E56" s="553" t="s">
        <v>819</v>
      </c>
      <c r="F56" s="554">
        <v>0.05</v>
      </c>
      <c r="G56" s="555">
        <v>10.416666666666668</v>
      </c>
      <c r="H56" s="556">
        <v>208333333333.33334</v>
      </c>
      <c r="I56" s="557">
        <v>46</v>
      </c>
    </row>
    <row r="57" spans="5:9" x14ac:dyDescent="0.25">
      <c r="E57" s="553" t="s">
        <v>820</v>
      </c>
      <c r="F57" s="554">
        <v>0.05</v>
      </c>
      <c r="G57" s="555">
        <v>12.5</v>
      </c>
      <c r="H57" s="556">
        <v>250000000000</v>
      </c>
      <c r="I57" s="557">
        <v>55</v>
      </c>
    </row>
    <row r="58" spans="5:9" x14ac:dyDescent="0.25">
      <c r="E58" s="553" t="s">
        <v>821</v>
      </c>
      <c r="F58" s="554">
        <v>2E-3</v>
      </c>
      <c r="G58" s="555">
        <v>30.286510000000003</v>
      </c>
      <c r="H58" s="556">
        <v>15143255000000</v>
      </c>
      <c r="I58" s="557">
        <v>3028.6509999999998</v>
      </c>
    </row>
    <row r="59" spans="5:9" x14ac:dyDescent="0.25">
      <c r="E59" s="553" t="s">
        <v>822</v>
      </c>
      <c r="F59" s="554">
        <v>3.0000000000000001E-3</v>
      </c>
      <c r="G59" s="555">
        <v>0.2</v>
      </c>
      <c r="H59" s="556">
        <v>65000000000</v>
      </c>
      <c r="I59" s="557">
        <v>13</v>
      </c>
    </row>
    <row r="60" spans="5:9" x14ac:dyDescent="0.25">
      <c r="E60" s="260" t="s">
        <v>869</v>
      </c>
      <c r="F60" s="258">
        <v>1.2999999999999999E-2</v>
      </c>
      <c r="G60" s="550">
        <v>2.0634920634920633</v>
      </c>
      <c r="H60" s="551">
        <v>158730158730.15872</v>
      </c>
      <c r="I60" s="285">
        <v>31.746031746031747</v>
      </c>
    </row>
    <row r="61" spans="5:9" x14ac:dyDescent="0.25">
      <c r="E61" s="260" t="s">
        <v>861</v>
      </c>
      <c r="F61" s="258">
        <v>5.5E-2</v>
      </c>
      <c r="G61" s="550">
        <v>0.67901234567901236</v>
      </c>
      <c r="H61" s="551">
        <v>12345679012.345678</v>
      </c>
      <c r="I61" s="285">
        <v>2.4691358024691357</v>
      </c>
    </row>
    <row r="62" spans="5:9" x14ac:dyDescent="0.25">
      <c r="E62" s="260" t="s">
        <v>866</v>
      </c>
      <c r="F62" s="554">
        <v>6.0000000000000001E-3</v>
      </c>
      <c r="G62" s="555">
        <v>5.3</v>
      </c>
      <c r="H62" s="556">
        <v>883333333333.33337</v>
      </c>
      <c r="I62" s="557">
        <v>194</v>
      </c>
    </row>
    <row r="63" spans="5:9" x14ac:dyDescent="0.25">
      <c r="E63" s="260" t="s">
        <v>859</v>
      </c>
      <c r="F63" s="258">
        <v>8.0000000000000002E-3</v>
      </c>
      <c r="G63" s="550">
        <v>8</v>
      </c>
      <c r="H63" s="551">
        <v>1000000000000</v>
      </c>
      <c r="I63" s="285">
        <v>200</v>
      </c>
    </row>
    <row r="64" spans="5:9" x14ac:dyDescent="0.25">
      <c r="E64" s="553" t="s">
        <v>191</v>
      </c>
      <c r="F64" s="554">
        <v>2.7E-4</v>
      </c>
      <c r="G64" s="555">
        <v>0.65754607680027488</v>
      </c>
      <c r="H64" s="556">
        <v>2435355840001.0181</v>
      </c>
      <c r="I64" s="557">
        <v>536</v>
      </c>
    </row>
    <row r="65" spans="5:9" x14ac:dyDescent="0.25">
      <c r="E65" s="553" t="s">
        <v>192</v>
      </c>
      <c r="F65" s="554">
        <v>3.3E-4</v>
      </c>
      <c r="G65" s="555">
        <v>0.54715512960022872</v>
      </c>
      <c r="H65" s="556">
        <v>1658045847273.4202</v>
      </c>
      <c r="I65" s="557">
        <v>365</v>
      </c>
    </row>
    <row r="66" spans="5:9" x14ac:dyDescent="0.25">
      <c r="E66" s="553" t="s">
        <v>429</v>
      </c>
      <c r="F66" s="554">
        <v>3.6999999999999999E-4</v>
      </c>
      <c r="G66" s="555">
        <v>0.49435945920020669</v>
      </c>
      <c r="H66" s="556">
        <v>1336106646487.0452</v>
      </c>
      <c r="I66" s="557">
        <v>294</v>
      </c>
    </row>
    <row r="67" spans="5:9" x14ac:dyDescent="0.25">
      <c r="E67" s="553" t="s">
        <v>823</v>
      </c>
      <c r="F67" s="554">
        <v>1.7999999999999999E-2</v>
      </c>
      <c r="G67" s="555">
        <v>3.9614399999999996</v>
      </c>
      <c r="H67" s="556">
        <v>220079999999.99997</v>
      </c>
      <c r="I67" s="557">
        <v>44.015999999999998</v>
      </c>
    </row>
    <row r="68" spans="5:9" x14ac:dyDescent="0.25">
      <c r="E68" s="260" t="s">
        <v>863</v>
      </c>
      <c r="F68" s="258">
        <v>1E-4</v>
      </c>
      <c r="G68" s="550">
        <v>2.2727272727272729</v>
      </c>
      <c r="H68" s="551">
        <v>22727272727272.727</v>
      </c>
      <c r="I68" s="285">
        <v>4545.454545454545</v>
      </c>
    </row>
    <row r="69" spans="5:9" x14ac:dyDescent="0.25">
      <c r="E69" s="553" t="s">
        <v>824</v>
      </c>
      <c r="F69" s="554">
        <v>1.75E-4</v>
      </c>
      <c r="G69" s="555">
        <v>0.43695980843700272</v>
      </c>
      <c r="H69" s="556">
        <v>2496913191068.5869</v>
      </c>
      <c r="I69" s="557">
        <v>549</v>
      </c>
    </row>
    <row r="70" spans="5:9" x14ac:dyDescent="0.25">
      <c r="E70" s="553" t="s">
        <v>825</v>
      </c>
      <c r="F70" s="554">
        <v>4.5999999999999999E-2</v>
      </c>
      <c r="G70" s="555">
        <v>2.1541799999999998</v>
      </c>
      <c r="H70" s="556">
        <v>46829999999.999992</v>
      </c>
      <c r="I70" s="557">
        <v>9.3659999999999997</v>
      </c>
    </row>
    <row r="71" spans="5:9" x14ac:dyDescent="0.25">
      <c r="E71" s="553" t="s">
        <v>826</v>
      </c>
      <c r="F71" s="554">
        <v>0.05</v>
      </c>
      <c r="G71" s="555">
        <v>0.5575</v>
      </c>
      <c r="H71" s="556">
        <v>11149999999.999998</v>
      </c>
      <c r="I71" s="557">
        <v>2.23</v>
      </c>
    </row>
    <row r="72" spans="5:9" x14ac:dyDescent="0.25">
      <c r="E72" s="553" t="s">
        <v>827</v>
      </c>
      <c r="F72" s="554">
        <v>0.05</v>
      </c>
      <c r="G72" s="555">
        <v>1.1100000000000001</v>
      </c>
      <c r="H72" s="556">
        <v>22200000000</v>
      </c>
      <c r="I72" s="557">
        <v>5</v>
      </c>
    </row>
    <row r="73" spans="5:9" x14ac:dyDescent="0.25">
      <c r="E73" s="553" t="s">
        <v>828</v>
      </c>
      <c r="F73" s="554">
        <v>0.1</v>
      </c>
      <c r="G73" s="555">
        <v>2.2225000000000006</v>
      </c>
      <c r="H73" s="556">
        <v>22225000000</v>
      </c>
      <c r="I73" s="557">
        <v>4.4450000000000003</v>
      </c>
    </row>
    <row r="74" spans="5:9" x14ac:dyDescent="0.25">
      <c r="E74" s="553" t="s">
        <v>829</v>
      </c>
      <c r="F74" s="554">
        <v>0.04</v>
      </c>
      <c r="G74" s="555">
        <v>2.2356000000000003</v>
      </c>
      <c r="H74" s="556">
        <v>55890000000.000008</v>
      </c>
      <c r="I74" s="557">
        <v>11.178000000000001</v>
      </c>
    </row>
    <row r="75" spans="5:9" x14ac:dyDescent="0.25">
      <c r="E75" s="260" t="s">
        <v>830</v>
      </c>
      <c r="F75" s="258">
        <v>0.05</v>
      </c>
      <c r="G75" s="550">
        <v>0.622</v>
      </c>
      <c r="H75" s="551">
        <v>12439999999.999998</v>
      </c>
      <c r="I75" s="285">
        <v>2.488</v>
      </c>
    </row>
    <row r="76" spans="5:9" x14ac:dyDescent="0.25">
      <c r="E76" s="260" t="s">
        <v>868</v>
      </c>
      <c r="F76" s="258">
        <v>1.2999999999999999E-2</v>
      </c>
      <c r="G76" s="550">
        <v>1.3541666666666667</v>
      </c>
      <c r="H76" s="551">
        <v>104166666666.66667</v>
      </c>
      <c r="I76" s="285">
        <v>20.833333333333336</v>
      </c>
    </row>
    <row r="77" spans="5:9" x14ac:dyDescent="0.25">
      <c r="E77" s="260" t="s">
        <v>831</v>
      </c>
      <c r="F77" s="258">
        <v>1.9E-2</v>
      </c>
      <c r="G77" s="550">
        <v>1.6208899999999999</v>
      </c>
      <c r="H77" s="551">
        <v>85310000000</v>
      </c>
      <c r="I77" s="285">
        <v>17.062000000000001</v>
      </c>
    </row>
    <row r="78" spans="5:9" x14ac:dyDescent="0.25">
      <c r="E78" s="260" t="s">
        <v>832</v>
      </c>
      <c r="F78" s="258">
        <v>1.11E-2</v>
      </c>
      <c r="G78" s="550">
        <v>18.7</v>
      </c>
      <c r="H78" s="551">
        <v>1684684684684.6846</v>
      </c>
      <c r="I78" s="285">
        <v>371</v>
      </c>
    </row>
    <row r="79" spans="5:9" x14ac:dyDescent="0.25">
      <c r="E79" s="260" t="s">
        <v>186</v>
      </c>
      <c r="F79" s="258">
        <v>9.4999999999999998E-3</v>
      </c>
      <c r="G79" s="550">
        <v>12.37</v>
      </c>
      <c r="H79" s="551">
        <v>1302105263157.8948</v>
      </c>
      <c r="I79" s="285">
        <v>286</v>
      </c>
    </row>
    <row r="80" spans="5:9" ht="15" customHeight="1" x14ac:dyDescent="0.25">
      <c r="E80" s="260" t="s">
        <v>862</v>
      </c>
      <c r="F80" s="258">
        <v>5.0000000000000001E-4</v>
      </c>
      <c r="G80" s="550">
        <v>3.8461538461538467</v>
      </c>
      <c r="H80" s="551">
        <v>7692307692307.6924</v>
      </c>
      <c r="I80" s="285">
        <v>1538.4615384615386</v>
      </c>
    </row>
    <row r="81" spans="5:9" x14ac:dyDescent="0.25">
      <c r="E81" s="260" t="s">
        <v>867</v>
      </c>
      <c r="F81" s="258">
        <v>1.5E-3</v>
      </c>
      <c r="G81" s="550">
        <v>5.1724137931034493</v>
      </c>
      <c r="H81" s="551">
        <v>3448275862068.9658</v>
      </c>
      <c r="I81" s="285">
        <v>689.65517241379314</v>
      </c>
    </row>
    <row r="82" spans="5:9" x14ac:dyDescent="0.25">
      <c r="E82" s="260" t="s">
        <v>188</v>
      </c>
      <c r="F82" s="258">
        <v>3.5E-4</v>
      </c>
      <c r="G82" s="550">
        <v>36.61</v>
      </c>
      <c r="H82" s="551">
        <v>104600000000000</v>
      </c>
      <c r="I82" s="285">
        <v>23012</v>
      </c>
    </row>
    <row r="83" spans="5:9" x14ac:dyDescent="0.25">
      <c r="E83" s="260" t="s">
        <v>189</v>
      </c>
      <c r="F83" s="258">
        <v>3.5E-4</v>
      </c>
      <c r="G83" s="550">
        <v>48.33</v>
      </c>
      <c r="H83" s="551">
        <v>138085714285714.28</v>
      </c>
      <c r="I83" s="285">
        <v>30379</v>
      </c>
    </row>
    <row r="84" spans="5:9" x14ac:dyDescent="0.25">
      <c r="E84" s="260" t="s">
        <v>833</v>
      </c>
      <c r="F84" s="258">
        <v>3.6999999999999999E-4</v>
      </c>
      <c r="G84" s="550">
        <v>2.85978735</v>
      </c>
      <c r="H84" s="551">
        <v>7729154999999.999</v>
      </c>
      <c r="I84" s="285">
        <v>1545.8309999999999</v>
      </c>
    </row>
    <row r="85" spans="5:9" x14ac:dyDescent="0.25">
      <c r="E85" s="260" t="s">
        <v>834</v>
      </c>
      <c r="F85" s="258">
        <v>0.02</v>
      </c>
      <c r="G85" s="550">
        <v>5.84</v>
      </c>
      <c r="H85" s="551">
        <v>292000000000</v>
      </c>
      <c r="I85" s="285">
        <v>64</v>
      </c>
    </row>
    <row r="86" spans="5:9" x14ac:dyDescent="0.25">
      <c r="E86" s="260" t="s">
        <v>835</v>
      </c>
      <c r="F86" s="258">
        <v>1.0000000000000001E-5</v>
      </c>
      <c r="G86" s="550">
        <v>6.379999999999999</v>
      </c>
      <c r="H86" s="551">
        <v>637999999999999.88</v>
      </c>
      <c r="I86" s="285">
        <v>127599.99999999999</v>
      </c>
    </row>
    <row r="87" spans="5:9" x14ac:dyDescent="0.25">
      <c r="E87" s="260" t="s">
        <v>836</v>
      </c>
      <c r="F87" s="258">
        <v>1.0000000000000001E-5</v>
      </c>
      <c r="G87" s="550">
        <v>5.78</v>
      </c>
      <c r="H87" s="551">
        <v>578000000000000</v>
      </c>
      <c r="I87" s="285">
        <v>127160</v>
      </c>
    </row>
    <row r="88" spans="5:9" x14ac:dyDescent="0.25">
      <c r="E88" s="260" t="s">
        <v>837</v>
      </c>
      <c r="F88" s="258">
        <v>1.0000000000000001E-5</v>
      </c>
      <c r="G88" s="550">
        <v>4.5449999999999999</v>
      </c>
      <c r="H88" s="551">
        <v>454499999999999.94</v>
      </c>
      <c r="I88" s="285">
        <v>90900</v>
      </c>
    </row>
    <row r="89" spans="5:9" x14ac:dyDescent="0.25">
      <c r="E89" s="260" t="s">
        <v>838</v>
      </c>
      <c r="F89" s="258">
        <v>1.0000000000000001E-5</v>
      </c>
      <c r="G89" s="550">
        <v>1.52</v>
      </c>
      <c r="H89" s="551">
        <v>152000000000000</v>
      </c>
      <c r="I89" s="285">
        <v>33440</v>
      </c>
    </row>
    <row r="90" spans="5:9" x14ac:dyDescent="0.25">
      <c r="E90" s="260" t="s">
        <v>839</v>
      </c>
      <c r="F90" s="258">
        <v>1.0000000000000001E-5</v>
      </c>
      <c r="G90" s="550">
        <v>8.120000000000001</v>
      </c>
      <c r="H90" s="551">
        <v>812000000000000</v>
      </c>
      <c r="I90" s="285">
        <v>162400</v>
      </c>
    </row>
    <row r="91" spans="5:9" x14ac:dyDescent="0.25">
      <c r="E91" s="260" t="s">
        <v>840</v>
      </c>
      <c r="F91" s="258">
        <v>1.0000000000000001E-5</v>
      </c>
      <c r="G91" s="550">
        <v>15.680000000000001</v>
      </c>
      <c r="H91" s="551">
        <v>1568000000000000</v>
      </c>
      <c r="I91" s="285">
        <v>313600</v>
      </c>
    </row>
    <row r="92" spans="5:9" x14ac:dyDescent="0.25">
      <c r="E92" s="260" t="s">
        <v>841</v>
      </c>
      <c r="F92" s="258">
        <v>6.0000000000000001E-3</v>
      </c>
      <c r="G92" s="550">
        <v>35.916840000000001</v>
      </c>
      <c r="H92" s="551">
        <v>5986140000000</v>
      </c>
      <c r="I92" s="285">
        <v>1197.2280000000001</v>
      </c>
    </row>
    <row r="93" spans="5:9" x14ac:dyDescent="0.25">
      <c r="E93" s="553" t="s">
        <v>842</v>
      </c>
      <c r="F93" s="554">
        <v>1.2E-2</v>
      </c>
      <c r="G93" s="555">
        <v>1.2275400000000003</v>
      </c>
      <c r="H93" s="556">
        <v>102295000000</v>
      </c>
      <c r="I93" s="557">
        <v>20.459</v>
      </c>
    </row>
    <row r="94" spans="5:9" x14ac:dyDescent="0.25">
      <c r="E94" s="260" t="s">
        <v>856</v>
      </c>
      <c r="F94" s="258">
        <v>0.01</v>
      </c>
      <c r="G94" s="550">
        <v>1.5625000000000002</v>
      </c>
      <c r="H94" s="551">
        <v>156250000000</v>
      </c>
      <c r="I94" s="285">
        <v>31.25</v>
      </c>
    </row>
    <row r="95" spans="5:9" x14ac:dyDescent="0.25">
      <c r="E95" s="553" t="s">
        <v>843</v>
      </c>
      <c r="F95" s="554">
        <v>1.4999999999999999E-2</v>
      </c>
      <c r="G95" s="555">
        <v>3.7876499999999997</v>
      </c>
      <c r="H95" s="556">
        <v>252510000000</v>
      </c>
      <c r="I95" s="557">
        <v>50.502000000000002</v>
      </c>
    </row>
    <row r="96" spans="5:9" x14ac:dyDescent="0.25">
      <c r="E96" s="553" t="s">
        <v>190</v>
      </c>
      <c r="F96" s="554">
        <v>2.0000000000000001E-4</v>
      </c>
      <c r="G96" s="555">
        <v>138</v>
      </c>
      <c r="H96" s="556">
        <v>690000000000000</v>
      </c>
      <c r="I96" s="557">
        <v>151800</v>
      </c>
    </row>
    <row r="97" spans="5:9" x14ac:dyDescent="0.25">
      <c r="E97" s="260" t="s">
        <v>855</v>
      </c>
      <c r="F97" s="258">
        <v>0.05</v>
      </c>
      <c r="G97" s="550">
        <v>3.5714285714285721</v>
      </c>
      <c r="H97" s="551">
        <v>71428571428.571426</v>
      </c>
      <c r="I97" s="285">
        <v>14.285714285714286</v>
      </c>
    </row>
    <row r="98" spans="5:9" x14ac:dyDescent="0.25">
      <c r="E98" s="553" t="s">
        <v>844</v>
      </c>
      <c r="F98" s="554">
        <v>6.0000000000000001E-3</v>
      </c>
      <c r="G98" s="555">
        <v>4.1756700000000002</v>
      </c>
      <c r="H98" s="556">
        <v>695945000000</v>
      </c>
      <c r="I98" s="557">
        <v>139.18899999999999</v>
      </c>
    </row>
    <row r="99" spans="5:9" x14ac:dyDescent="0.25">
      <c r="E99" s="260" t="s">
        <v>865</v>
      </c>
      <c r="F99" s="258">
        <v>0.03</v>
      </c>
      <c r="G99" s="550">
        <v>2</v>
      </c>
      <c r="H99" s="551">
        <v>66666666666.666664</v>
      </c>
      <c r="I99" s="285">
        <v>13.333333333333334</v>
      </c>
    </row>
    <row r="100" spans="5:9" x14ac:dyDescent="0.25">
      <c r="E100" s="260" t="s">
        <v>864</v>
      </c>
      <c r="F100" s="258">
        <v>0.03</v>
      </c>
      <c r="G100" s="550">
        <v>2.5</v>
      </c>
      <c r="H100" s="551">
        <v>83333333333.333328</v>
      </c>
      <c r="I100" s="285">
        <v>16.666666666666668</v>
      </c>
    </row>
    <row r="101" spans="5:9" x14ac:dyDescent="0.25">
      <c r="E101" s="553" t="s">
        <v>185</v>
      </c>
      <c r="F101" s="554">
        <v>1.11E-2</v>
      </c>
      <c r="G101" s="555">
        <v>15.92</v>
      </c>
      <c r="H101" s="556">
        <v>1434234234234.2341</v>
      </c>
      <c r="I101" s="557">
        <v>316</v>
      </c>
    </row>
    <row r="102" spans="5:9" x14ac:dyDescent="0.25">
      <c r="E102" s="553" t="s">
        <v>849</v>
      </c>
      <c r="F102" s="554">
        <v>8.9999999999999993E-3</v>
      </c>
      <c r="G102" s="555">
        <v>12</v>
      </c>
      <c r="H102" s="556">
        <v>1333333333333.3335</v>
      </c>
      <c r="I102" s="557">
        <v>293</v>
      </c>
    </row>
    <row r="103" spans="5:9" x14ac:dyDescent="0.25">
      <c r="E103" s="553" t="s">
        <v>187</v>
      </c>
      <c r="F103" s="554">
        <v>1.75E-4</v>
      </c>
      <c r="G103" s="555">
        <v>1.3444917182677003</v>
      </c>
      <c r="H103" s="556">
        <v>7682809818672.5723</v>
      </c>
      <c r="I103" s="557">
        <v>1690</v>
      </c>
    </row>
    <row r="104" spans="5:9" x14ac:dyDescent="0.25">
      <c r="E104" s="260" t="s">
        <v>860</v>
      </c>
      <c r="F104" s="258">
        <v>3.5000000000000001E-3</v>
      </c>
      <c r="G104" s="550">
        <v>4.4303797468354436</v>
      </c>
      <c r="H104" s="551">
        <v>1265822784810.1267</v>
      </c>
      <c r="I104" s="285">
        <v>253.16455696202533</v>
      </c>
    </row>
    <row r="105" spans="5:9" x14ac:dyDescent="0.25">
      <c r="E105" s="553" t="s">
        <v>845</v>
      </c>
      <c r="F105" s="554">
        <v>1.2E-4</v>
      </c>
      <c r="G105" s="555">
        <v>1.0568574000000002</v>
      </c>
      <c r="H105" s="556">
        <v>8807145000000</v>
      </c>
      <c r="I105" s="557">
        <v>1761.4290000000001</v>
      </c>
    </row>
    <row r="106" spans="5:9" x14ac:dyDescent="0.25">
      <c r="E106" s="260" t="s">
        <v>846</v>
      </c>
      <c r="F106" s="258">
        <v>9.5000000000000005E-5</v>
      </c>
      <c r="G106" s="550">
        <v>59.773525000000006</v>
      </c>
      <c r="H106" s="551">
        <v>629195000000000</v>
      </c>
      <c r="I106" s="285">
        <v>125839</v>
      </c>
    </row>
    <row r="107" spans="5:9" x14ac:dyDescent="0.25">
      <c r="E107" s="260" t="s">
        <v>851</v>
      </c>
      <c r="F107" s="258">
        <v>0.02</v>
      </c>
      <c r="G107" s="550">
        <v>17.8</v>
      </c>
      <c r="H107" s="551">
        <v>890000000000</v>
      </c>
      <c r="I107" s="285">
        <v>196</v>
      </c>
    </row>
    <row r="108" spans="5:9" x14ac:dyDescent="0.25">
      <c r="E108" s="260" t="s">
        <v>852</v>
      </c>
      <c r="F108" s="258">
        <v>0.03</v>
      </c>
      <c r="G108" s="550">
        <v>26.68</v>
      </c>
      <c r="H108" s="551">
        <v>889333333333.33337</v>
      </c>
      <c r="I108" s="285">
        <v>196</v>
      </c>
    </row>
    <row r="109" spans="5:9" x14ac:dyDescent="0.25">
      <c r="E109" s="260" t="s">
        <v>847</v>
      </c>
      <c r="F109" s="258">
        <v>1.2500000000000001E-2</v>
      </c>
      <c r="G109" s="550">
        <v>0.72043750000000006</v>
      </c>
      <c r="H109" s="551">
        <v>57635000000</v>
      </c>
      <c r="I109" s="285">
        <v>11.526999999999999</v>
      </c>
    </row>
    <row r="110" spans="5:9" x14ac:dyDescent="0.25">
      <c r="E110" s="260" t="s">
        <v>848</v>
      </c>
      <c r="F110" s="258">
        <v>1.2500000000000001E-2</v>
      </c>
      <c r="G110" s="550">
        <v>0.67931249999999999</v>
      </c>
      <c r="H110" s="551">
        <v>54344999999.999992</v>
      </c>
      <c r="I110" s="285">
        <v>10.869</v>
      </c>
    </row>
    <row r="111" spans="5:9" x14ac:dyDescent="0.25">
      <c r="E111" s="260" t="s">
        <v>850</v>
      </c>
      <c r="F111" s="258">
        <v>0.01</v>
      </c>
      <c r="G111" s="550">
        <v>0.89100000000000001</v>
      </c>
      <c r="H111" s="551">
        <v>89100000000</v>
      </c>
      <c r="I111" s="285">
        <v>20</v>
      </c>
    </row>
    <row r="112" spans="5:9" ht="30" customHeight="1" x14ac:dyDescent="0.25">
      <c r="E112" s="606" t="s">
        <v>479</v>
      </c>
      <c r="F112" s="606"/>
      <c r="G112" s="606"/>
      <c r="H112" s="606"/>
      <c r="I112" s="606"/>
    </row>
    <row r="113" spans="5:7" x14ac:dyDescent="0.25"/>
    <row r="114" spans="5:7" x14ac:dyDescent="0.25">
      <c r="E114" s="597" t="s">
        <v>471</v>
      </c>
      <c r="F114" s="598"/>
      <c r="G114" s="599"/>
    </row>
    <row r="115" spans="5:7" ht="60" x14ac:dyDescent="0.25">
      <c r="E115" s="245" t="s">
        <v>355</v>
      </c>
      <c r="F115" s="225" t="s">
        <v>464</v>
      </c>
      <c r="G115" s="246" t="s">
        <v>430</v>
      </c>
    </row>
    <row r="116" spans="5:7" x14ac:dyDescent="0.25">
      <c r="E116" s="299" t="s">
        <v>466</v>
      </c>
      <c r="F116" s="258" t="s">
        <v>474</v>
      </c>
      <c r="G116" s="263">
        <v>1</v>
      </c>
    </row>
    <row r="117" spans="5:7" x14ac:dyDescent="0.25">
      <c r="E117" s="299" t="s">
        <v>467</v>
      </c>
      <c r="F117" s="258" t="s">
        <v>474</v>
      </c>
      <c r="G117" s="263">
        <v>1</v>
      </c>
    </row>
    <row r="118" spans="5:7" x14ac:dyDescent="0.25">
      <c r="E118" s="299" t="s">
        <v>468</v>
      </c>
      <c r="F118" s="258" t="s">
        <v>474</v>
      </c>
      <c r="G118" s="263">
        <v>1</v>
      </c>
    </row>
    <row r="119" spans="5:7" x14ac:dyDescent="0.25">
      <c r="E119" s="299" t="s">
        <v>469</v>
      </c>
      <c r="F119" s="258" t="s">
        <v>474</v>
      </c>
      <c r="G119" s="263">
        <v>1</v>
      </c>
    </row>
    <row r="120" spans="5:7" x14ac:dyDescent="0.25">
      <c r="E120" s="299" t="str">
        <f>Aux!$AQ$26</f>
        <v>Perfil acero 38x38x0,85</v>
      </c>
      <c r="F120" s="258" t="s">
        <v>474</v>
      </c>
      <c r="G120" s="263" t="s">
        <v>60</v>
      </c>
    </row>
    <row r="121" spans="5:7" x14ac:dyDescent="0.25">
      <c r="E121" s="299" t="str">
        <f>Aux!$AQ$27</f>
        <v>Perfil acero 60x38x0,85</v>
      </c>
      <c r="F121" s="258" t="s">
        <v>474</v>
      </c>
      <c r="G121" s="263" t="s">
        <v>60</v>
      </c>
    </row>
    <row r="122" spans="5:7" x14ac:dyDescent="0.25">
      <c r="E122" s="299" t="str">
        <f>Aux!$AQ$28</f>
        <v>Perfil acero 90x38x0,85</v>
      </c>
      <c r="F122" s="258" t="s">
        <v>474</v>
      </c>
      <c r="G122" s="263" t="s">
        <v>60</v>
      </c>
    </row>
    <row r="123" spans="5:7" x14ac:dyDescent="0.25">
      <c r="E123" s="299" t="str">
        <f>Aux!$AQ$29</f>
        <v>Perfil acero</v>
      </c>
      <c r="F123" s="321" t="s">
        <v>578</v>
      </c>
      <c r="G123" s="263" t="s">
        <v>60</v>
      </c>
    </row>
    <row r="124" spans="5:7" x14ac:dyDescent="0.25">
      <c r="E124" s="21" t="s">
        <v>523</v>
      </c>
    </row>
    <row r="125" spans="5:7" x14ac:dyDescent="0.25"/>
    <row r="126" spans="5:7" x14ac:dyDescent="0.25">
      <c r="E126" s="607" t="s">
        <v>465</v>
      </c>
      <c r="F126" s="608"/>
      <c r="G126" s="609"/>
    </row>
    <row r="127" spans="5:7" ht="15.75" customHeight="1" x14ac:dyDescent="0.25">
      <c r="E127" s="591" t="s">
        <v>193</v>
      </c>
      <c r="F127" s="592"/>
      <c r="G127" s="593"/>
    </row>
    <row r="128" spans="5:7" ht="60" x14ac:dyDescent="0.25">
      <c r="E128" s="232" t="s">
        <v>355</v>
      </c>
      <c r="F128" s="233" t="s">
        <v>440</v>
      </c>
      <c r="G128" s="234" t="s">
        <v>441</v>
      </c>
    </row>
    <row r="129" spans="3:10" x14ac:dyDescent="0.25">
      <c r="E129" s="235" t="s">
        <v>475</v>
      </c>
      <c r="F129" s="295">
        <v>1.2222222222222225E-2</v>
      </c>
      <c r="G129" s="296">
        <v>1.2222222222222224E-11</v>
      </c>
    </row>
    <row r="130" spans="3:10" x14ac:dyDescent="0.25">
      <c r="E130" s="243" t="s">
        <v>476</v>
      </c>
      <c r="F130" s="297">
        <v>8.3333333333333332E-3</v>
      </c>
      <c r="G130" s="298">
        <v>8.3333333333333336E-12</v>
      </c>
    </row>
    <row r="131" spans="3:10" x14ac:dyDescent="0.25">
      <c r="E131" s="243" t="s">
        <v>477</v>
      </c>
      <c r="F131" s="297">
        <v>6.1111111111111123E-3</v>
      </c>
      <c r="G131" s="298">
        <v>6.1111111111111121E-12</v>
      </c>
    </row>
    <row r="132" spans="3:10" x14ac:dyDescent="0.25">
      <c r="E132" s="243" t="s">
        <v>478</v>
      </c>
      <c r="F132" s="297">
        <v>5.5555555555555558E-3</v>
      </c>
      <c r="G132" s="298">
        <v>5.5555555555555555E-12</v>
      </c>
    </row>
    <row r="133" spans="3:10" x14ac:dyDescent="0.25">
      <c r="E133" s="243" t="s">
        <v>439</v>
      </c>
      <c r="F133" s="297">
        <v>6.1111111111111123E-3</v>
      </c>
      <c r="G133" s="298">
        <v>6.1111111111111121E-12</v>
      </c>
    </row>
    <row r="134" spans="3:10" x14ac:dyDescent="0.25">
      <c r="E134" s="243" t="s">
        <v>194</v>
      </c>
      <c r="F134" s="297">
        <v>2.2222222222222223E-2</v>
      </c>
      <c r="G134" s="298">
        <v>2.2222222222222222E-11</v>
      </c>
    </row>
    <row r="135" spans="3:10" x14ac:dyDescent="0.25"/>
    <row r="136" spans="3:10" x14ac:dyDescent="0.25">
      <c r="C136" s="602" t="s">
        <v>30</v>
      </c>
      <c r="D136" s="604"/>
      <c r="E136" s="604"/>
      <c r="F136" s="604"/>
      <c r="G136" s="604"/>
      <c r="H136" s="604"/>
      <c r="I136" s="604"/>
      <c r="J136" s="603"/>
    </row>
    <row r="137" spans="3:10" x14ac:dyDescent="0.25">
      <c r="C137" s="595" t="s">
        <v>320</v>
      </c>
      <c r="D137" s="601"/>
      <c r="E137" s="601"/>
      <c r="F137" s="601"/>
      <c r="G137" s="601"/>
      <c r="H137" s="601"/>
      <c r="I137" s="601"/>
      <c r="J137" s="596"/>
    </row>
    <row r="138" spans="3:10" ht="77.25" customHeight="1" x14ac:dyDescent="0.25">
      <c r="C138" s="241" t="s">
        <v>414</v>
      </c>
      <c r="D138" s="236" t="s">
        <v>425</v>
      </c>
      <c r="E138" s="253" t="s">
        <v>415</v>
      </c>
      <c r="F138" s="237" t="s">
        <v>427</v>
      </c>
      <c r="G138" s="238" t="s">
        <v>411</v>
      </c>
      <c r="H138" s="238" t="s">
        <v>426</v>
      </c>
      <c r="I138" s="251" t="s">
        <v>412</v>
      </c>
      <c r="J138" s="252" t="s">
        <v>413</v>
      </c>
    </row>
    <row r="139" spans="3:10" ht="14.25" hidden="1" customHeight="1" x14ac:dyDescent="0.25">
      <c r="C139" s="317"/>
      <c r="D139" s="314" t="s">
        <v>561</v>
      </c>
      <c r="E139" s="318"/>
      <c r="F139" s="319"/>
      <c r="G139" s="320"/>
      <c r="H139" s="321"/>
      <c r="I139" s="321"/>
      <c r="J139" s="322"/>
    </row>
    <row r="140" spans="3:10" ht="15" customHeight="1" x14ac:dyDescent="0.25">
      <c r="C140" s="323" t="s">
        <v>31</v>
      </c>
      <c r="D140" s="323" t="str">
        <f>ISO10456_T3[[#This Row],[Grupo]]&amp;" - "&amp;ISO10456_T3[[#This Row],[Materiales o aplicación]]&amp;", ρ ="&amp;ISO10456_T3[[#This Row],[Densidad
ρ
kg/m³]]&amp;" kg/m³"</f>
        <v>Asfalto - Asfalto, ρ =2100 kg/m³</v>
      </c>
      <c r="E140" s="261" t="s">
        <v>31</v>
      </c>
      <c r="F140" s="269">
        <v>2100</v>
      </c>
      <c r="G140" s="270">
        <v>0.7</v>
      </c>
      <c r="H140" s="271">
        <v>1000</v>
      </c>
      <c r="I140" s="271">
        <v>50000</v>
      </c>
      <c r="J140" s="272">
        <v>50000</v>
      </c>
    </row>
    <row r="141" spans="3:10" ht="15" hidden="1" customHeight="1" x14ac:dyDescent="0.25">
      <c r="C141" s="288"/>
      <c r="D141" s="315" t="s">
        <v>562</v>
      </c>
      <c r="E141" s="273"/>
      <c r="F141" s="264"/>
      <c r="G141" s="265"/>
      <c r="H141" s="266"/>
      <c r="I141" s="266"/>
      <c r="J141" s="262"/>
    </row>
    <row r="142" spans="3:10" ht="15" customHeight="1" x14ac:dyDescent="0.25">
      <c r="C142" s="291" t="s">
        <v>33</v>
      </c>
      <c r="D142" s="291" t="str">
        <f>ISO10456_T3[[#This Row],[Grupo]]&amp;" - "&amp;ISO10456_T3[[#This Row],[Materiales o aplicación]]&amp;", ρ ="&amp;ISO10456_T3[[#This Row],[Densidad
ρ
kg/m³]]&amp;" kg/m³"</f>
        <v>Bitumen - Puro, ρ =1050 kg/m³</v>
      </c>
      <c r="E142" s="260" t="s">
        <v>32</v>
      </c>
      <c r="F142" s="276">
        <v>1050</v>
      </c>
      <c r="G142" s="277">
        <v>0.17</v>
      </c>
      <c r="H142" s="258">
        <v>1000</v>
      </c>
      <c r="I142" s="258">
        <v>50000</v>
      </c>
      <c r="J142" s="263">
        <v>50000</v>
      </c>
    </row>
    <row r="143" spans="3:10" ht="15" customHeight="1" x14ac:dyDescent="0.25">
      <c r="C143" s="267" t="s">
        <v>33</v>
      </c>
      <c r="D143" s="267" t="str">
        <f>ISO10456_T3[[#This Row],[Grupo]]&amp;" - "&amp;ISO10456_T3[[#This Row],[Materiales o aplicación]]&amp;", ρ ="&amp;ISO10456_T3[[#This Row],[Densidad
ρ
kg/m³]]&amp;" kg/m³"</f>
        <v>Bitumen - Fieltro/lámina, ρ =1100 kg/m³</v>
      </c>
      <c r="E143" s="268" t="s">
        <v>393</v>
      </c>
      <c r="F143" s="269">
        <v>1100</v>
      </c>
      <c r="G143" s="270">
        <v>0.23</v>
      </c>
      <c r="H143" s="271">
        <v>1000</v>
      </c>
      <c r="I143" s="271">
        <v>50000</v>
      </c>
      <c r="J143" s="272">
        <v>50000</v>
      </c>
    </row>
    <row r="144" spans="3:10" ht="15" hidden="1" customHeight="1" x14ac:dyDescent="0.25">
      <c r="C144" s="292"/>
      <c r="D144" s="315" t="s">
        <v>543</v>
      </c>
      <c r="E144" s="316"/>
      <c r="F144" s="264"/>
      <c r="G144" s="265"/>
      <c r="H144" s="266"/>
      <c r="I144" s="266"/>
      <c r="J144" s="262"/>
    </row>
    <row r="145" spans="3:10" ht="15" customHeight="1" x14ac:dyDescent="0.25">
      <c r="C145" s="274" t="s">
        <v>34</v>
      </c>
      <c r="D145" s="274" t="str">
        <f>ISO10456_T3[[#This Row],[Grupo]]&amp;" - "&amp;ISO10456_T3[[#This Row],[Materiales o aplicación]]&amp;", ρ ="&amp;ISO10456_T3[[#This Row],[Densidad
ρ
kg/m³]]&amp;" kg/m³"</f>
        <v>Hormigón - Densidad media, ρ =1800 kg/m³</v>
      </c>
      <c r="E145" s="275" t="s">
        <v>35</v>
      </c>
      <c r="F145" s="276">
        <v>1800</v>
      </c>
      <c r="G145" s="277">
        <v>1.1499999999999999</v>
      </c>
      <c r="H145" s="258">
        <v>1000</v>
      </c>
      <c r="I145" s="258">
        <v>100</v>
      </c>
      <c r="J145" s="263">
        <v>60</v>
      </c>
    </row>
    <row r="146" spans="3:10" ht="15" customHeight="1" x14ac:dyDescent="0.25">
      <c r="C146" s="274" t="s">
        <v>34</v>
      </c>
      <c r="D146" s="274" t="str">
        <f>ISO10456_T3[[#This Row],[Grupo]]&amp;" - "&amp;ISO10456_T3[[#This Row],[Materiales o aplicación]]&amp;", ρ ="&amp;ISO10456_T3[[#This Row],[Densidad
ρ
kg/m³]]&amp;" kg/m³"</f>
        <v>Hormigón - Densidad media, ρ =2000 kg/m³</v>
      </c>
      <c r="E146" s="275" t="s">
        <v>35</v>
      </c>
      <c r="F146" s="276">
        <v>2000</v>
      </c>
      <c r="G146" s="277">
        <v>1.35</v>
      </c>
      <c r="H146" s="258">
        <v>1000</v>
      </c>
      <c r="I146" s="258">
        <v>100</v>
      </c>
      <c r="J146" s="263">
        <v>60</v>
      </c>
    </row>
    <row r="147" spans="3:10" ht="15" customHeight="1" x14ac:dyDescent="0.25">
      <c r="C147" s="274" t="s">
        <v>34</v>
      </c>
      <c r="D147" s="274" t="str">
        <f>ISO10456_T3[[#This Row],[Grupo]]&amp;" - "&amp;ISO10456_T3[[#This Row],[Materiales o aplicación]]&amp;", ρ ="&amp;ISO10456_T3[[#This Row],[Densidad
ρ
kg/m³]]&amp;" kg/m³"</f>
        <v>Hormigón - Densidad media, ρ =2200 kg/m³</v>
      </c>
      <c r="E147" s="275" t="s">
        <v>35</v>
      </c>
      <c r="F147" s="276">
        <v>2200</v>
      </c>
      <c r="G147" s="277">
        <v>1.65</v>
      </c>
      <c r="H147" s="258">
        <v>1000</v>
      </c>
      <c r="I147" s="258">
        <v>120</v>
      </c>
      <c r="J147" s="263">
        <v>70</v>
      </c>
    </row>
    <row r="148" spans="3:10" ht="15" customHeight="1" x14ac:dyDescent="0.25">
      <c r="C148" s="274" t="s">
        <v>34</v>
      </c>
      <c r="D148" s="274" t="str">
        <f>ISO10456_T3[[#This Row],[Grupo]]&amp;" - "&amp;ISO10456_T3[[#This Row],[Materiales o aplicación]]&amp;", ρ ="&amp;ISO10456_T3[[#This Row],[Densidad
ρ
kg/m³]]&amp;" kg/m³"</f>
        <v>Hormigón - Densidad alta, ρ =2400 kg/m³</v>
      </c>
      <c r="E148" s="260" t="s">
        <v>36</v>
      </c>
      <c r="F148" s="276">
        <v>2400</v>
      </c>
      <c r="G148" s="277">
        <v>2</v>
      </c>
      <c r="H148" s="258">
        <v>1000</v>
      </c>
      <c r="I148" s="258">
        <v>130</v>
      </c>
      <c r="J148" s="263">
        <v>80</v>
      </c>
    </row>
    <row r="149" spans="3:10" ht="15" customHeight="1" x14ac:dyDescent="0.25">
      <c r="C149" s="274" t="s">
        <v>34</v>
      </c>
      <c r="D149" s="274" t="str">
        <f>ISO10456_T3[[#This Row],[Grupo]]&amp;" - "&amp;ISO10456_T3[[#This Row],[Materiales o aplicación]]&amp;", ρ ="&amp;ISO10456_T3[[#This Row],[Densidad
ρ
kg/m³]]&amp;" kg/m³"</f>
        <v>Hormigón - Armado (1% de acero), ρ =2300 kg/m³</v>
      </c>
      <c r="E149" s="260" t="s">
        <v>37</v>
      </c>
      <c r="F149" s="276">
        <v>2300</v>
      </c>
      <c r="G149" s="277">
        <v>2.2999999999999998</v>
      </c>
      <c r="H149" s="258">
        <v>1000</v>
      </c>
      <c r="I149" s="258">
        <v>130</v>
      </c>
      <c r="J149" s="263">
        <v>80</v>
      </c>
    </row>
    <row r="150" spans="3:10" ht="15" customHeight="1" x14ac:dyDescent="0.25">
      <c r="C150" s="278" t="s">
        <v>34</v>
      </c>
      <c r="D150" s="278" t="str">
        <f>ISO10456_T3[[#This Row],[Grupo]]&amp;" - "&amp;ISO10456_T3[[#This Row],[Materiales o aplicación]]&amp;", ρ ="&amp;ISO10456_T3[[#This Row],[Densidad
ρ
kg/m³]]&amp;" kg/m³"</f>
        <v>Hormigón - Armado (2% de acero), ρ =2400 kg/m³</v>
      </c>
      <c r="E150" s="261" t="s">
        <v>38</v>
      </c>
      <c r="F150" s="269">
        <v>2400</v>
      </c>
      <c r="G150" s="270">
        <v>2.5</v>
      </c>
      <c r="H150" s="271">
        <v>1000</v>
      </c>
      <c r="I150" s="271">
        <v>130</v>
      </c>
      <c r="J150" s="272">
        <v>80</v>
      </c>
    </row>
    <row r="151" spans="3:10" ht="15" hidden="1" customHeight="1" x14ac:dyDescent="0.25">
      <c r="C151" s="288"/>
      <c r="D151" s="315" t="s">
        <v>544</v>
      </c>
      <c r="E151" s="273"/>
      <c r="F151" s="264"/>
      <c r="G151" s="265"/>
      <c r="H151" s="266"/>
      <c r="I151" s="266"/>
      <c r="J151" s="262"/>
    </row>
    <row r="152" spans="3:10" ht="15" customHeight="1" x14ac:dyDescent="0.25">
      <c r="C152" s="274" t="s">
        <v>39</v>
      </c>
      <c r="D152" s="274" t="str">
        <f>ISO10456_T3[[#This Row],[Materiales o aplicación]]&amp;", ρ ="&amp;ISO10456_T3[[#This Row],[Densidad
ρ
kg/m³]]&amp;" kg/m³"</f>
        <v>Caucho, ρ =1200 kg/m³</v>
      </c>
      <c r="E152" s="260" t="s">
        <v>40</v>
      </c>
      <c r="F152" s="276">
        <v>1200</v>
      </c>
      <c r="G152" s="277">
        <v>0.17</v>
      </c>
      <c r="H152" s="258">
        <v>1400</v>
      </c>
      <c r="I152" s="258">
        <v>10000</v>
      </c>
      <c r="J152" s="263">
        <v>10000</v>
      </c>
    </row>
    <row r="153" spans="3:10" ht="15" customHeight="1" x14ac:dyDescent="0.25">
      <c r="C153" s="274" t="s">
        <v>39</v>
      </c>
      <c r="D153" s="274" t="str">
        <f>ISO10456_T3[[#This Row],[Materiales o aplicación]]&amp;", ρ ="&amp;ISO10456_T3[[#This Row],[Densidad
ρ
kg/m³]]&amp;" kg/m³"</f>
        <v>Plástico, ρ =1700 kg/m³</v>
      </c>
      <c r="E153" s="260" t="s">
        <v>41</v>
      </c>
      <c r="F153" s="276">
        <v>1700</v>
      </c>
      <c r="G153" s="277">
        <v>0.25</v>
      </c>
      <c r="H153" s="258">
        <v>1400</v>
      </c>
      <c r="I153" s="258">
        <v>10000</v>
      </c>
      <c r="J153" s="263">
        <v>10000</v>
      </c>
    </row>
    <row r="154" spans="3:10" ht="15" customHeight="1" x14ac:dyDescent="0.25">
      <c r="C154" s="274" t="s">
        <v>39</v>
      </c>
      <c r="D154" s="274" t="str">
        <f>ISO10456_T3[[#This Row],[Materiales o aplicación]]&amp;", ρ ="&amp;ISO10456_T3[[#This Row],[Densidad
ρ
kg/m³]]&amp;" kg/m³"</f>
        <v>caucho celular o plástico sobre radier, ρ =270 kg/m³</v>
      </c>
      <c r="E154" s="260" t="s">
        <v>42</v>
      </c>
      <c r="F154" s="276">
        <v>270</v>
      </c>
      <c r="G154" s="277">
        <v>0.1</v>
      </c>
      <c r="H154" s="258">
        <v>1400</v>
      </c>
      <c r="I154" s="258">
        <v>10000</v>
      </c>
      <c r="J154" s="263">
        <v>10000</v>
      </c>
    </row>
    <row r="155" spans="3:10" ht="15" customHeight="1" x14ac:dyDescent="0.25">
      <c r="C155" s="274" t="s">
        <v>39</v>
      </c>
      <c r="D155" s="274" t="str">
        <f>ISO10456_T3[[#This Row],[Materiales o aplicación]]&amp;", ρ ="&amp;ISO10456_T3[[#This Row],[Densidad
ρ
kg/m³]]&amp;" kg/m³"</f>
        <v>fieltro sobre radier, ρ =120 kg/m³</v>
      </c>
      <c r="E155" s="260" t="s">
        <v>43</v>
      </c>
      <c r="F155" s="276">
        <v>120</v>
      </c>
      <c r="G155" s="277">
        <v>0.05</v>
      </c>
      <c r="H155" s="258">
        <v>1300</v>
      </c>
      <c r="I155" s="258">
        <v>20</v>
      </c>
      <c r="J155" s="263">
        <v>15</v>
      </c>
    </row>
    <row r="156" spans="3:10" ht="15" customHeight="1" x14ac:dyDescent="0.25">
      <c r="C156" s="274" t="s">
        <v>39</v>
      </c>
      <c r="D156" s="274" t="str">
        <f>ISO10456_T3[[#This Row],[Materiales o aplicación]]&amp;", ρ ="&amp;ISO10456_T3[[#This Row],[Densidad
ρ
kg/m³]]&amp;" kg/m³"</f>
        <v>lana sobre radier, ρ =200 kg/m³</v>
      </c>
      <c r="E156" s="260" t="s">
        <v>44</v>
      </c>
      <c r="F156" s="276">
        <v>200</v>
      </c>
      <c r="G156" s="277">
        <v>0.06</v>
      </c>
      <c r="H156" s="258">
        <v>1300</v>
      </c>
      <c r="I156" s="258">
        <v>20</v>
      </c>
      <c r="J156" s="263">
        <v>15</v>
      </c>
    </row>
    <row r="157" spans="3:10" ht="15" customHeight="1" x14ac:dyDescent="0.25">
      <c r="C157" s="274" t="s">
        <v>39</v>
      </c>
      <c r="D157" s="274" t="str">
        <f>ISO10456_T3[[#This Row],[Materiales o aplicación]]&amp;", ρ ="&amp;ISO10456_T3[[#This Row],[Densidad
ρ
kg/m³]]&amp;" kg/m³"</f>
        <v>corcho sobre radier, ρ =&lt; 200 kg/m³</v>
      </c>
      <c r="E157" s="260" t="s">
        <v>45</v>
      </c>
      <c r="F157" s="276" t="s">
        <v>58</v>
      </c>
      <c r="G157" s="277">
        <v>0.05</v>
      </c>
      <c r="H157" s="258">
        <v>1500</v>
      </c>
      <c r="I157" s="258">
        <v>20</v>
      </c>
      <c r="J157" s="263">
        <v>10</v>
      </c>
    </row>
    <row r="158" spans="3:10" ht="15" customHeight="1" x14ac:dyDescent="0.25">
      <c r="C158" s="274" t="s">
        <v>39</v>
      </c>
      <c r="D158" s="274" t="str">
        <f>ISO10456_T3[[#This Row],[Materiales o aplicación]]&amp;", ρ ="&amp;ISO10456_T3[[#This Row],[Densidad
ρ
kg/m³]]&amp;" kg/m³"</f>
        <v>corcho, palmetas, ρ =&gt; 400 kg/m³</v>
      </c>
      <c r="E158" s="260" t="s">
        <v>46</v>
      </c>
      <c r="F158" s="276" t="s">
        <v>59</v>
      </c>
      <c r="G158" s="277">
        <v>6.5000000000000002E-2</v>
      </c>
      <c r="H158" s="258">
        <v>1500</v>
      </c>
      <c r="I158" s="258">
        <v>40</v>
      </c>
      <c r="J158" s="263">
        <v>20</v>
      </c>
    </row>
    <row r="159" spans="3:10" ht="15" customHeight="1" x14ac:dyDescent="0.25">
      <c r="C159" s="274" t="s">
        <v>39</v>
      </c>
      <c r="D159" s="274" t="str">
        <f>ISO10456_T3[[#This Row],[Materiales o aplicación]]&amp;", ρ ="&amp;ISO10456_T3[[#This Row],[Densidad
ρ
kg/m³]]&amp;" kg/m³"</f>
        <v>alfombra / recubrimiento textil, ρ =200 kg/m³</v>
      </c>
      <c r="E159" s="260" t="s">
        <v>47</v>
      </c>
      <c r="F159" s="276">
        <v>200</v>
      </c>
      <c r="G159" s="277">
        <v>0.06</v>
      </c>
      <c r="H159" s="258">
        <v>1300</v>
      </c>
      <c r="I159" s="258">
        <v>5</v>
      </c>
      <c r="J159" s="263">
        <v>5</v>
      </c>
    </row>
    <row r="160" spans="3:10" ht="15" customHeight="1" x14ac:dyDescent="0.25">
      <c r="C160" s="274" t="s">
        <v>39</v>
      </c>
      <c r="D160" s="274" t="str">
        <f>ISO10456_T3[[#This Row],[Materiales o aplicación]]&amp;", ρ ="&amp;ISO10456_T3[[#This Row],[Densidad
ρ
kg/m³]]&amp;" kg/m³"</f>
        <v>linóleo, ρ =1200 kg/m³</v>
      </c>
      <c r="E160" s="260" t="s">
        <v>48</v>
      </c>
      <c r="F160" s="276">
        <v>1200</v>
      </c>
      <c r="G160" s="277">
        <v>0.17</v>
      </c>
      <c r="H160" s="258">
        <v>1400</v>
      </c>
      <c r="I160" s="258">
        <v>1000</v>
      </c>
      <c r="J160" s="263">
        <v>800</v>
      </c>
    </row>
    <row r="161" spans="3:10" ht="15" hidden="1" customHeight="1" x14ac:dyDescent="0.25">
      <c r="C161" s="288"/>
      <c r="D161" s="315" t="s">
        <v>545</v>
      </c>
      <c r="E161" s="273"/>
      <c r="F161" s="264"/>
      <c r="G161" s="265"/>
      <c r="H161" s="266"/>
      <c r="I161" s="266"/>
      <c r="J161" s="262"/>
    </row>
    <row r="162" spans="3:10" ht="15" customHeight="1" x14ac:dyDescent="0.25">
      <c r="C162" s="274" t="s">
        <v>49</v>
      </c>
      <c r="D162" s="274" t="str">
        <f>ISO10456_T3[[#This Row],[Materiales o aplicación]]&amp;", ρ ="&amp;ISO10456_T3[[#This Row],[Densidad
ρ
kg/m³]]&amp;" kg/m³"</f>
        <v>aire, ρ =1,23 kg/m³</v>
      </c>
      <c r="E162" s="260" t="s">
        <v>50</v>
      </c>
      <c r="F162" s="276">
        <v>1.23</v>
      </c>
      <c r="G162" s="277">
        <v>2.5000000000000001E-2</v>
      </c>
      <c r="H162" s="258">
        <v>1008</v>
      </c>
      <c r="I162" s="258">
        <v>1</v>
      </c>
      <c r="J162" s="263">
        <v>1</v>
      </c>
    </row>
    <row r="163" spans="3:10" ht="15" customHeight="1" x14ac:dyDescent="0.25">
      <c r="C163" s="274" t="s">
        <v>49</v>
      </c>
      <c r="D163" s="274" t="str">
        <f>ISO10456_T3[[#This Row],[Materiales o aplicación]]&amp;", ρ ="&amp;ISO10456_T3[[#This Row],[Densidad
ρ
kg/m³]]&amp;" kg/m³"</f>
        <v>dióxido de carbono, ρ =1,95 kg/m³</v>
      </c>
      <c r="E163" s="260" t="s">
        <v>51</v>
      </c>
      <c r="F163" s="276">
        <v>1.95</v>
      </c>
      <c r="G163" s="277">
        <v>1.4E-2</v>
      </c>
      <c r="H163" s="258">
        <v>820</v>
      </c>
      <c r="I163" s="258">
        <v>1</v>
      </c>
      <c r="J163" s="263">
        <v>1</v>
      </c>
    </row>
    <row r="164" spans="3:10" ht="15" customHeight="1" x14ac:dyDescent="0.25">
      <c r="C164" s="274" t="s">
        <v>49</v>
      </c>
      <c r="D164" s="274" t="str">
        <f>ISO10456_T3[[#This Row],[Materiales o aplicación]]&amp;", ρ ="&amp;ISO10456_T3[[#This Row],[Densidad
ρ
kg/m³]]&amp;" kg/m³"</f>
        <v>argón, ρ =1,7 kg/m³</v>
      </c>
      <c r="E164" s="260" t="s">
        <v>52</v>
      </c>
      <c r="F164" s="276">
        <v>1.7</v>
      </c>
      <c r="G164" s="277">
        <v>1.7000000000000001E-2</v>
      </c>
      <c r="H164" s="258">
        <v>519</v>
      </c>
      <c r="I164" s="258">
        <v>1</v>
      </c>
      <c r="J164" s="263">
        <v>1</v>
      </c>
    </row>
    <row r="165" spans="3:10" ht="15" customHeight="1" x14ac:dyDescent="0.25">
      <c r="C165" s="274" t="s">
        <v>49</v>
      </c>
      <c r="D165" s="274" t="str">
        <f>ISO10456_T3[[#This Row],[Materiales o aplicación]]&amp;", ρ ="&amp;ISO10456_T3[[#This Row],[Densidad
ρ
kg/m³]]&amp;" kg/m³"</f>
        <v>Hexafloruro de azufre, ρ =6,36 kg/m³</v>
      </c>
      <c r="E165" s="260" t="s">
        <v>53</v>
      </c>
      <c r="F165" s="276">
        <v>6.36</v>
      </c>
      <c r="G165" s="277">
        <v>1.2999999999999999E-2</v>
      </c>
      <c r="H165" s="258">
        <v>614</v>
      </c>
      <c r="I165" s="258">
        <v>1</v>
      </c>
      <c r="J165" s="263">
        <v>1</v>
      </c>
    </row>
    <row r="166" spans="3:10" ht="15" customHeight="1" x14ac:dyDescent="0.25">
      <c r="C166" s="274" t="s">
        <v>49</v>
      </c>
      <c r="D166" s="274" t="str">
        <f>ISO10456_T3[[#This Row],[Materiales o aplicación]]&amp;", ρ ="&amp;ISO10456_T3[[#This Row],[Densidad
ρ
kg/m³]]&amp;" kg/m³"</f>
        <v>kriptón, ρ =3,56 kg/m³</v>
      </c>
      <c r="E166" s="260" t="s">
        <v>54</v>
      </c>
      <c r="F166" s="276">
        <v>3.56</v>
      </c>
      <c r="G166" s="277">
        <v>8.9999999999999993E-3</v>
      </c>
      <c r="H166" s="258">
        <v>245</v>
      </c>
      <c r="I166" s="258">
        <v>1</v>
      </c>
      <c r="J166" s="263">
        <v>1</v>
      </c>
    </row>
    <row r="167" spans="3:10" ht="15" customHeight="1" x14ac:dyDescent="0.25">
      <c r="C167" s="278" t="s">
        <v>49</v>
      </c>
      <c r="D167" s="278" t="str">
        <f>ISO10456_T3[[#This Row],[Materiales o aplicación]]&amp;", ρ ="&amp;ISO10456_T3[[#This Row],[Densidad
ρ
kg/m³]]&amp;" kg/m³"</f>
        <v>xenón, ρ =5,68 kg/m³</v>
      </c>
      <c r="E167" s="261" t="s">
        <v>55</v>
      </c>
      <c r="F167" s="269">
        <v>5.68</v>
      </c>
      <c r="G167" s="270">
        <v>5.4000000000000003E-3</v>
      </c>
      <c r="H167" s="271">
        <v>160</v>
      </c>
      <c r="I167" s="271">
        <v>1</v>
      </c>
      <c r="J167" s="272">
        <v>1</v>
      </c>
    </row>
    <row r="168" spans="3:10" ht="15" hidden="1" customHeight="1" x14ac:dyDescent="0.25">
      <c r="C168" s="288"/>
      <c r="D168" s="315" t="s">
        <v>547</v>
      </c>
      <c r="E168" s="273"/>
      <c r="F168" s="264"/>
      <c r="G168" s="265"/>
      <c r="H168" s="266"/>
      <c r="I168" s="266"/>
      <c r="J168" s="262"/>
    </row>
    <row r="169" spans="3:10" ht="15" customHeight="1" x14ac:dyDescent="0.25">
      <c r="C169" s="274" t="s">
        <v>56</v>
      </c>
      <c r="D169" s="274" t="str">
        <f>ISO10456_T3[[#This Row],[Materiales o aplicación]]&amp;", ρ ="&amp;ISO10456_T3[[#This Row],[Densidad
ρ
kg/m³]]&amp;" kg/m³"</f>
        <v>de cal sodada (incluyendo vidrio flotado), ρ =2500 kg/m³</v>
      </c>
      <c r="E169" s="260" t="s">
        <v>447</v>
      </c>
      <c r="F169" s="276">
        <v>2500</v>
      </c>
      <c r="G169" s="277">
        <v>1</v>
      </c>
      <c r="H169" s="258">
        <v>750</v>
      </c>
      <c r="I169" s="258" t="s">
        <v>60</v>
      </c>
      <c r="J169" s="263" t="s">
        <v>60</v>
      </c>
    </row>
    <row r="170" spans="3:10" ht="15" customHeight="1" x14ac:dyDescent="0.25">
      <c r="C170" s="274" t="s">
        <v>56</v>
      </c>
      <c r="D170" s="274" t="str">
        <f>ISO10456_T3[[#This Row],[Materiales o aplicación]]&amp;", ρ ="&amp;ISO10456_T3[[#This Row],[Densidad
ρ
kg/m³]]&amp;" kg/m³"</f>
        <v>de cuarzo, ρ =2200 kg/m³</v>
      </c>
      <c r="E170" s="260" t="s">
        <v>448</v>
      </c>
      <c r="F170" s="276">
        <v>2200</v>
      </c>
      <c r="G170" s="277">
        <v>1.4</v>
      </c>
      <c r="H170" s="258">
        <v>750</v>
      </c>
      <c r="I170" s="258" t="s">
        <v>60</v>
      </c>
      <c r="J170" s="263" t="s">
        <v>60</v>
      </c>
    </row>
    <row r="171" spans="3:10" ht="15" customHeight="1" x14ac:dyDescent="0.25">
      <c r="C171" s="278" t="s">
        <v>56</v>
      </c>
      <c r="D171" s="278" t="str">
        <f>ISO10456_T3[[#This Row],[Materiales o aplicación]]&amp;", ρ ="&amp;ISO10456_T3[[#This Row],[Densidad
ρ
kg/m³]]&amp;" kg/m³"</f>
        <v>mosaico, ρ =2000 kg/m³</v>
      </c>
      <c r="E171" s="261" t="s">
        <v>449</v>
      </c>
      <c r="F171" s="269">
        <v>2000</v>
      </c>
      <c r="G171" s="270">
        <v>1.2</v>
      </c>
      <c r="H171" s="271">
        <v>750</v>
      </c>
      <c r="I171" s="271" t="s">
        <v>60</v>
      </c>
      <c r="J171" s="272" t="s">
        <v>60</v>
      </c>
    </row>
    <row r="172" spans="3:10" ht="15" hidden="1" customHeight="1" x14ac:dyDescent="0.25">
      <c r="C172" s="288"/>
      <c r="D172" s="315" t="s">
        <v>546</v>
      </c>
      <c r="E172" s="273"/>
      <c r="F172" s="264"/>
      <c r="G172" s="265"/>
      <c r="H172" s="266"/>
      <c r="I172" s="266"/>
      <c r="J172" s="262"/>
    </row>
    <row r="173" spans="3:10" ht="15" customHeight="1" x14ac:dyDescent="0.25">
      <c r="C173" s="274" t="s">
        <v>57</v>
      </c>
      <c r="D173" s="274" t="str">
        <f>ISO10456_T3[[#This Row],[Materiales o aplicación]]&amp;", ρ ="&amp;ISO10456_T3[[#This Row],[Densidad
ρ
kg/m³]]&amp;" kg/m³"</f>
        <v>hielo a -10 °C, ρ =920 kg/m³</v>
      </c>
      <c r="E173" s="260" t="s">
        <v>61</v>
      </c>
      <c r="F173" s="276">
        <v>920</v>
      </c>
      <c r="G173" s="277">
        <v>2.2999999999999998</v>
      </c>
      <c r="H173" s="258">
        <v>2000</v>
      </c>
      <c r="I173" s="281" t="s">
        <v>71</v>
      </c>
      <c r="J173" s="282" t="s">
        <v>71</v>
      </c>
    </row>
    <row r="174" spans="3:10" ht="15" customHeight="1" x14ac:dyDescent="0.25">
      <c r="C174" s="274" t="s">
        <v>57</v>
      </c>
      <c r="D174" s="274" t="str">
        <f>ISO10456_T3[[#This Row],[Materiales o aplicación]]&amp;", ρ ="&amp;ISO10456_T3[[#This Row],[Densidad
ρ
kg/m³]]&amp;" kg/m³"</f>
        <v>hielo a 0 °C, ρ =900 kg/m³</v>
      </c>
      <c r="E174" s="260" t="s">
        <v>62</v>
      </c>
      <c r="F174" s="276">
        <v>900</v>
      </c>
      <c r="G174" s="277">
        <v>2.2000000000000002</v>
      </c>
      <c r="H174" s="258">
        <v>2000</v>
      </c>
      <c r="I174" s="281" t="s">
        <v>71</v>
      </c>
      <c r="J174" s="282" t="s">
        <v>71</v>
      </c>
    </row>
    <row r="175" spans="3:10" ht="15" customHeight="1" x14ac:dyDescent="0.25">
      <c r="C175" s="274" t="s">
        <v>57</v>
      </c>
      <c r="D175" s="274" t="str">
        <f>ISO10456_T3[[#This Row],[Materiales o aplicación]]&amp;", ρ ="&amp;ISO10456_T3[[#This Row],[Densidad
ρ
kg/m³]]&amp;" kg/m³"</f>
        <v>nieve, recién caida (&lt; 30 mm), ρ =100 kg/m³</v>
      </c>
      <c r="E175" s="260" t="s">
        <v>63</v>
      </c>
      <c r="F175" s="276">
        <v>100</v>
      </c>
      <c r="G175" s="277">
        <v>0.05</v>
      </c>
      <c r="H175" s="258">
        <v>2000</v>
      </c>
      <c r="I175" s="281" t="s">
        <v>71</v>
      </c>
      <c r="J175" s="282" t="s">
        <v>71</v>
      </c>
    </row>
    <row r="176" spans="3:10" ht="15" customHeight="1" x14ac:dyDescent="0.25">
      <c r="C176" s="274" t="s">
        <v>57</v>
      </c>
      <c r="D176" s="274" t="str">
        <f>ISO10456_T3[[#This Row],[Materiales o aplicación]]&amp;", ρ ="&amp;ISO10456_T3[[#This Row],[Densidad
ρ
kg/m³]]&amp;" kg/m³"</f>
        <v>nieve, suave (30 a 70 mm), ρ =200 kg/m³</v>
      </c>
      <c r="E176" s="260" t="s">
        <v>64</v>
      </c>
      <c r="F176" s="276">
        <v>200</v>
      </c>
      <c r="G176" s="277">
        <v>0.12</v>
      </c>
      <c r="H176" s="258">
        <v>2000</v>
      </c>
      <c r="I176" s="281" t="s">
        <v>71</v>
      </c>
      <c r="J176" s="282" t="s">
        <v>71</v>
      </c>
    </row>
    <row r="177" spans="3:10" ht="15" customHeight="1" x14ac:dyDescent="0.25">
      <c r="C177" s="274" t="s">
        <v>57</v>
      </c>
      <c r="D177" s="274" t="str">
        <f>ISO10456_T3[[#This Row],[Materiales o aplicación]]&amp;", ρ ="&amp;ISO10456_T3[[#This Row],[Densidad
ρ
kg/m³]]&amp;" kg/m³"</f>
        <v>nieve, levemente compactada (70 a 100 mm), ρ =300 kg/m³</v>
      </c>
      <c r="E177" s="260" t="s">
        <v>65</v>
      </c>
      <c r="F177" s="276">
        <v>300</v>
      </c>
      <c r="G177" s="277">
        <v>0.23</v>
      </c>
      <c r="H177" s="258">
        <v>2000</v>
      </c>
      <c r="I177" s="281" t="s">
        <v>71</v>
      </c>
      <c r="J177" s="282" t="s">
        <v>71</v>
      </c>
    </row>
    <row r="178" spans="3:10" ht="15" customHeight="1" x14ac:dyDescent="0.25">
      <c r="C178" s="274" t="s">
        <v>57</v>
      </c>
      <c r="D178" s="274" t="str">
        <f>ISO10456_T3[[#This Row],[Materiales o aplicación]]&amp;", ρ ="&amp;ISO10456_T3[[#This Row],[Densidad
ρ
kg/m³]]&amp;" kg/m³"</f>
        <v>nieve, compactada (&lt; 200 mm), ρ =500 kg/m³</v>
      </c>
      <c r="E178" s="260" t="s">
        <v>66</v>
      </c>
      <c r="F178" s="276">
        <v>500</v>
      </c>
      <c r="G178" s="277">
        <v>0.6</v>
      </c>
      <c r="H178" s="258">
        <v>2000</v>
      </c>
      <c r="I178" s="281" t="s">
        <v>71</v>
      </c>
      <c r="J178" s="282" t="s">
        <v>71</v>
      </c>
    </row>
    <row r="179" spans="3:10" ht="15" customHeight="1" x14ac:dyDescent="0.25">
      <c r="C179" s="274" t="s">
        <v>57</v>
      </c>
      <c r="D179" s="274" t="str">
        <f>ISO10456_T3[[#This Row],[Materiales o aplicación]]&amp;", ρ ="&amp;ISO10456_T3[[#This Row],[Densidad
ρ
kg/m³]]&amp;" kg/m³"</f>
        <v>agua a 10 °C, ρ =1000 kg/m³</v>
      </c>
      <c r="E179" s="260" t="s">
        <v>67</v>
      </c>
      <c r="F179" s="276">
        <v>1000</v>
      </c>
      <c r="G179" s="277">
        <v>0.6</v>
      </c>
      <c r="H179" s="258">
        <v>4190</v>
      </c>
      <c r="I179" s="281" t="s">
        <v>71</v>
      </c>
      <c r="J179" s="282" t="s">
        <v>71</v>
      </c>
    </row>
    <row r="180" spans="3:10" ht="15" customHeight="1" x14ac:dyDescent="0.25">
      <c r="C180" s="274" t="s">
        <v>57</v>
      </c>
      <c r="D180" s="274" t="str">
        <f>ISO10456_T3[[#This Row],[Materiales o aplicación]]&amp;", ρ ="&amp;ISO10456_T3[[#This Row],[Densidad
ρ
kg/m³]]&amp;" kg/m³"</f>
        <v>agua a 40 °C, ρ =990 kg/m³</v>
      </c>
      <c r="E180" s="260" t="s">
        <v>68</v>
      </c>
      <c r="F180" s="276">
        <v>990</v>
      </c>
      <c r="G180" s="277">
        <v>0.63</v>
      </c>
      <c r="H180" s="258">
        <v>4190</v>
      </c>
      <c r="I180" s="281" t="s">
        <v>71</v>
      </c>
      <c r="J180" s="282" t="s">
        <v>71</v>
      </c>
    </row>
    <row r="181" spans="3:10" ht="15" customHeight="1" x14ac:dyDescent="0.25">
      <c r="C181" s="278" t="s">
        <v>57</v>
      </c>
      <c r="D181" s="278" t="str">
        <f>ISO10456_T3[[#This Row],[Materiales o aplicación]]&amp;", ρ ="&amp;ISO10456_T3[[#This Row],[Densidad
ρ
kg/m³]]&amp;" kg/m³"</f>
        <v>agua a 80 °C, ρ =970 kg/m³</v>
      </c>
      <c r="E181" s="261" t="s">
        <v>69</v>
      </c>
      <c r="F181" s="269">
        <v>970</v>
      </c>
      <c r="G181" s="270">
        <v>0.67</v>
      </c>
      <c r="H181" s="271">
        <v>4190</v>
      </c>
      <c r="I181" s="283" t="s">
        <v>71</v>
      </c>
      <c r="J181" s="284" t="s">
        <v>71</v>
      </c>
    </row>
    <row r="182" spans="3:10" ht="15" hidden="1" customHeight="1" x14ac:dyDescent="0.25">
      <c r="C182" s="288"/>
      <c r="D182" s="315" t="s">
        <v>548</v>
      </c>
      <c r="E182" s="273"/>
      <c r="F182" s="264"/>
      <c r="G182" s="265"/>
      <c r="H182" s="266"/>
      <c r="I182" s="279"/>
      <c r="J182" s="280"/>
    </row>
    <row r="183" spans="3:10" ht="15" customHeight="1" x14ac:dyDescent="0.25">
      <c r="C183" s="274" t="s">
        <v>70</v>
      </c>
      <c r="D183" s="274" t="str">
        <f>ISO10456_T3[[#This Row],[Materiales o aplicación]]&amp;", ρ ="&amp;ISO10456_T3[[#This Row],[Densidad
ρ
kg/m³]]&amp;" kg/m³"</f>
        <v>Aleaciones de aluminio, ρ =2800 kg/m³</v>
      </c>
      <c r="E183" s="260" t="s">
        <v>321</v>
      </c>
      <c r="F183" s="276">
        <v>2800</v>
      </c>
      <c r="G183" s="285">
        <v>160</v>
      </c>
      <c r="H183" s="258">
        <v>880</v>
      </c>
      <c r="I183" s="258" t="s">
        <v>60</v>
      </c>
      <c r="J183" s="263" t="s">
        <v>60</v>
      </c>
    </row>
    <row r="184" spans="3:10" ht="15" customHeight="1" x14ac:dyDescent="0.25">
      <c r="C184" s="274" t="s">
        <v>70</v>
      </c>
      <c r="D184" s="274" t="str">
        <f>ISO10456_T3[[#This Row],[Materiales o aplicación]]&amp;", ρ ="&amp;ISO10456_T3[[#This Row],[Densidad
ρ
kg/m³]]&amp;" kg/m³"</f>
        <v>Bronce, ρ =8700 kg/m³</v>
      </c>
      <c r="E184" s="260" t="s">
        <v>322</v>
      </c>
      <c r="F184" s="276">
        <v>8700</v>
      </c>
      <c r="G184" s="285">
        <v>65</v>
      </c>
      <c r="H184" s="258">
        <v>380</v>
      </c>
      <c r="I184" s="258" t="s">
        <v>60</v>
      </c>
      <c r="J184" s="263" t="s">
        <v>60</v>
      </c>
    </row>
    <row r="185" spans="3:10" ht="15" customHeight="1" x14ac:dyDescent="0.25">
      <c r="C185" s="274" t="s">
        <v>70</v>
      </c>
      <c r="D185" s="274" t="str">
        <f>ISO10456_T3[[#This Row],[Materiales o aplicación]]&amp;", ρ ="&amp;ISO10456_T3[[#This Row],[Densidad
ρ
kg/m³]]&amp;" kg/m³"</f>
        <v>Latón, ρ =8400 kg/m³</v>
      </c>
      <c r="E185" s="286" t="s">
        <v>323</v>
      </c>
      <c r="F185" s="276">
        <v>8400</v>
      </c>
      <c r="G185" s="285">
        <v>120</v>
      </c>
      <c r="H185" s="258">
        <v>380</v>
      </c>
      <c r="I185" s="258" t="s">
        <v>60</v>
      </c>
      <c r="J185" s="263" t="s">
        <v>60</v>
      </c>
    </row>
    <row r="186" spans="3:10" ht="15" customHeight="1" x14ac:dyDescent="0.25">
      <c r="C186" s="274" t="s">
        <v>70</v>
      </c>
      <c r="D186" s="274" t="str">
        <f>ISO10456_T3[[#This Row],[Materiales o aplicación]]&amp;", ρ ="&amp;ISO10456_T3[[#This Row],[Densidad
ρ
kg/m³]]&amp;" kg/m³"</f>
        <v>Cobre, ρ =8900 kg/m³</v>
      </c>
      <c r="E186" s="260" t="s">
        <v>324</v>
      </c>
      <c r="F186" s="276">
        <v>8900</v>
      </c>
      <c r="G186" s="285">
        <v>380</v>
      </c>
      <c r="H186" s="258">
        <v>380</v>
      </c>
      <c r="I186" s="258" t="s">
        <v>60</v>
      </c>
      <c r="J186" s="263" t="s">
        <v>60</v>
      </c>
    </row>
    <row r="187" spans="3:10" ht="15" customHeight="1" x14ac:dyDescent="0.25">
      <c r="C187" s="274" t="s">
        <v>70</v>
      </c>
      <c r="D187" s="274" t="str">
        <f>ISO10456_T3[[#This Row],[Materiales o aplicación]]&amp;", ρ ="&amp;ISO10456_T3[[#This Row],[Densidad
ρ
kg/m³]]&amp;" kg/m³"</f>
        <v>Hierro, hierro fundido, ρ =7500 kg/m³</v>
      </c>
      <c r="E187" s="260" t="s">
        <v>325</v>
      </c>
      <c r="F187" s="276">
        <v>7500</v>
      </c>
      <c r="G187" s="285">
        <v>50</v>
      </c>
      <c r="H187" s="258">
        <v>450</v>
      </c>
      <c r="I187" s="258" t="s">
        <v>60</v>
      </c>
      <c r="J187" s="263" t="s">
        <v>60</v>
      </c>
    </row>
    <row r="188" spans="3:10" ht="15" customHeight="1" x14ac:dyDescent="0.25">
      <c r="C188" s="274" t="s">
        <v>70</v>
      </c>
      <c r="D188" s="274" t="str">
        <f>ISO10456_T3[[#This Row],[Materiales o aplicación]]&amp;", ρ ="&amp;ISO10456_T3[[#This Row],[Densidad
ρ
kg/m³]]&amp;" kg/m³"</f>
        <v>Plomo, ρ =11300 kg/m³</v>
      </c>
      <c r="E188" s="260" t="s">
        <v>326</v>
      </c>
      <c r="F188" s="276">
        <v>11300</v>
      </c>
      <c r="G188" s="285">
        <v>35</v>
      </c>
      <c r="H188" s="258">
        <v>130</v>
      </c>
      <c r="I188" s="258" t="s">
        <v>60</v>
      </c>
      <c r="J188" s="263" t="s">
        <v>60</v>
      </c>
    </row>
    <row r="189" spans="3:10" ht="15" customHeight="1" x14ac:dyDescent="0.25">
      <c r="C189" s="274" t="s">
        <v>70</v>
      </c>
      <c r="D189" s="274" t="str">
        <f>ISO10456_T3[[#This Row],[Materiales o aplicación]]&amp;", ρ ="&amp;ISO10456_T3[[#This Row],[Densidad
ρ
kg/m³]]&amp;" kg/m³"</f>
        <v>Acero, ρ =7800 kg/m³</v>
      </c>
      <c r="E189" s="260" t="s">
        <v>327</v>
      </c>
      <c r="F189" s="276">
        <v>7800</v>
      </c>
      <c r="G189" s="285">
        <v>50</v>
      </c>
      <c r="H189" s="258">
        <v>450</v>
      </c>
      <c r="I189" s="258" t="s">
        <v>60</v>
      </c>
      <c r="J189" s="263" t="s">
        <v>60</v>
      </c>
    </row>
    <row r="190" spans="3:10" ht="15" customHeight="1" x14ac:dyDescent="0.25">
      <c r="C190" s="274" t="s">
        <v>70</v>
      </c>
      <c r="D190" s="274" t="str">
        <f>ISO10456_T3[[#This Row],[Materiales o aplicación]]&amp;", ρ ="&amp;ISO10456_T3[[#This Row],[Densidad
ρ
kg/m³]]&amp;" kg/m³"</f>
        <v>Acero inoxidable, ρ =7900 kg/m³</v>
      </c>
      <c r="E190" s="260" t="s">
        <v>328</v>
      </c>
      <c r="F190" s="276">
        <v>7900</v>
      </c>
      <c r="G190" s="285">
        <v>17</v>
      </c>
      <c r="H190" s="258">
        <v>500</v>
      </c>
      <c r="I190" s="258" t="s">
        <v>60</v>
      </c>
      <c r="J190" s="263" t="s">
        <v>60</v>
      </c>
    </row>
    <row r="191" spans="3:10" ht="15" customHeight="1" x14ac:dyDescent="0.25">
      <c r="C191" s="274" t="s">
        <v>70</v>
      </c>
      <c r="D191" s="274" t="str">
        <f>ISO10456_T3[[#This Row],[Materiales o aplicación]]&amp;", ρ ="&amp;ISO10456_T3[[#This Row],[Densidad
ρ
kg/m³]]&amp;" kg/m³"</f>
        <v>Acero inoxidable, ρ =7900 kg/m³</v>
      </c>
      <c r="E191" s="260" t="s">
        <v>328</v>
      </c>
      <c r="F191" s="276">
        <v>7900</v>
      </c>
      <c r="G191" s="285">
        <v>30</v>
      </c>
      <c r="H191" s="258">
        <v>460</v>
      </c>
      <c r="I191" s="258" t="s">
        <v>60</v>
      </c>
      <c r="J191" s="263" t="s">
        <v>60</v>
      </c>
    </row>
    <row r="192" spans="3:10" ht="15" customHeight="1" x14ac:dyDescent="0.25">
      <c r="C192" s="278" t="s">
        <v>70</v>
      </c>
      <c r="D192" s="278" t="str">
        <f>ISO10456_T3[[#This Row],[Materiales o aplicación]]&amp;", ρ ="&amp;ISO10456_T3[[#This Row],[Densidad
ρ
kg/m³]]&amp;" kg/m³"</f>
        <v>Zinc, ρ =7200 kg/m³</v>
      </c>
      <c r="E192" s="261" t="s">
        <v>329</v>
      </c>
      <c r="F192" s="269">
        <v>7200</v>
      </c>
      <c r="G192" s="287">
        <v>110</v>
      </c>
      <c r="H192" s="271">
        <v>380</v>
      </c>
      <c r="I192" s="271" t="s">
        <v>60</v>
      </c>
      <c r="J192" s="272" t="s">
        <v>60</v>
      </c>
    </row>
    <row r="193" spans="3:10" ht="15" hidden="1" customHeight="1" x14ac:dyDescent="0.25">
      <c r="C193" s="288"/>
      <c r="D193" s="315" t="s">
        <v>550</v>
      </c>
      <c r="E193" s="273"/>
      <c r="F193" s="264"/>
      <c r="G193" s="265"/>
      <c r="H193" s="266"/>
      <c r="I193" s="266"/>
      <c r="J193" s="262"/>
    </row>
    <row r="194" spans="3:10" ht="15" customHeight="1" x14ac:dyDescent="0.25">
      <c r="C194" s="289" t="s">
        <v>450</v>
      </c>
      <c r="D194" s="289" t="str">
        <f>ISO10456_T3[[#This Row],[Materiales o aplicación]]&amp;", ρ ="&amp;ISO10456_T3[[#This Row],[Densidad
ρ
kg/m³]]&amp;" kg/m³"</f>
        <v>Acrílico, ρ =1050 kg/m³</v>
      </c>
      <c r="E194" s="260" t="s">
        <v>295</v>
      </c>
      <c r="F194" s="276">
        <v>1050</v>
      </c>
      <c r="G194" s="277">
        <v>0.2</v>
      </c>
      <c r="H194" s="258">
        <v>1500</v>
      </c>
      <c r="I194" s="258">
        <v>10000</v>
      </c>
      <c r="J194" s="263">
        <v>10000</v>
      </c>
    </row>
    <row r="195" spans="3:10" ht="15" customHeight="1" x14ac:dyDescent="0.25">
      <c r="C195" s="289" t="s">
        <v>450</v>
      </c>
      <c r="D195" s="289" t="str">
        <f>ISO10456_T3[[#This Row],[Materiales o aplicación]]&amp;", ρ ="&amp;ISO10456_T3[[#This Row],[Densidad
ρ
kg/m³]]&amp;" kg/m³"</f>
        <v>Policarbonato, ρ =1200 kg/m³</v>
      </c>
      <c r="E195" s="260" t="s">
        <v>296</v>
      </c>
      <c r="F195" s="276">
        <v>1200</v>
      </c>
      <c r="G195" s="277">
        <v>0.2</v>
      </c>
      <c r="H195" s="258">
        <v>1200</v>
      </c>
      <c r="I195" s="258">
        <v>5000</v>
      </c>
      <c r="J195" s="263">
        <v>5000</v>
      </c>
    </row>
    <row r="196" spans="3:10" ht="15" customHeight="1" x14ac:dyDescent="0.25">
      <c r="C196" s="289" t="s">
        <v>450</v>
      </c>
      <c r="D196" s="289" t="str">
        <f>ISO10456_T3[[#This Row],[Materiales o aplicación]]&amp;", ρ ="&amp;ISO10456_T3[[#This Row],[Densidad
ρ
kg/m³]]&amp;" kg/m³"</f>
        <v>Politetrafluoretileno (PTFE), ρ =2200 kg/m³</v>
      </c>
      <c r="E196" s="260" t="s">
        <v>297</v>
      </c>
      <c r="F196" s="276">
        <v>2200</v>
      </c>
      <c r="G196" s="277">
        <v>0.25</v>
      </c>
      <c r="H196" s="258">
        <v>1000</v>
      </c>
      <c r="I196" s="258">
        <v>10000</v>
      </c>
      <c r="J196" s="263">
        <v>10000</v>
      </c>
    </row>
    <row r="197" spans="3:10" ht="15" customHeight="1" x14ac:dyDescent="0.25">
      <c r="C197" s="289" t="s">
        <v>450</v>
      </c>
      <c r="D197" s="289" t="str">
        <f>ISO10456_T3[[#This Row],[Materiales o aplicación]]&amp;", ρ ="&amp;ISO10456_T3[[#This Row],[Densidad
ρ
kg/m³]]&amp;" kg/m³"</f>
        <v>Policloruro de vinilo (PVC), ρ =1390 kg/m³</v>
      </c>
      <c r="E197" s="260" t="s">
        <v>298</v>
      </c>
      <c r="F197" s="276">
        <v>1390</v>
      </c>
      <c r="G197" s="277">
        <v>0.17</v>
      </c>
      <c r="H197" s="258">
        <v>900</v>
      </c>
      <c r="I197" s="258">
        <v>50000</v>
      </c>
      <c r="J197" s="263">
        <v>50000</v>
      </c>
    </row>
    <row r="198" spans="3:10" ht="15" customHeight="1" x14ac:dyDescent="0.25">
      <c r="C198" s="289" t="s">
        <v>450</v>
      </c>
      <c r="D198" s="289" t="str">
        <f>ISO10456_T3[[#This Row],[Materiales o aplicación]]&amp;", ρ ="&amp;ISO10456_T3[[#This Row],[Densidad
ρ
kg/m³]]&amp;" kg/m³"</f>
        <v>Polimetilmetacrilato (PMMA), ρ =1180 kg/m³</v>
      </c>
      <c r="E198" s="260" t="s">
        <v>299</v>
      </c>
      <c r="F198" s="276">
        <v>1180</v>
      </c>
      <c r="G198" s="277">
        <v>0.18</v>
      </c>
      <c r="H198" s="258">
        <v>1500</v>
      </c>
      <c r="I198" s="258">
        <v>50000</v>
      </c>
      <c r="J198" s="263">
        <v>50000</v>
      </c>
    </row>
    <row r="199" spans="3:10" ht="15" customHeight="1" x14ac:dyDescent="0.25">
      <c r="C199" s="289" t="s">
        <v>450</v>
      </c>
      <c r="D199" s="289" t="str">
        <f>ISO10456_T3[[#This Row],[Materiales o aplicación]]&amp;", ρ ="&amp;ISO10456_T3[[#This Row],[Densidad
ρ
kg/m³]]&amp;" kg/m³"</f>
        <v>Poliacetato, ρ =1410 kg/m³</v>
      </c>
      <c r="E199" s="260" t="s">
        <v>300</v>
      </c>
      <c r="F199" s="276">
        <v>1410</v>
      </c>
      <c r="G199" s="277">
        <v>0.3</v>
      </c>
      <c r="H199" s="258">
        <v>1400</v>
      </c>
      <c r="I199" s="258">
        <v>100000</v>
      </c>
      <c r="J199" s="263">
        <v>100000</v>
      </c>
    </row>
    <row r="200" spans="3:10" ht="15" customHeight="1" x14ac:dyDescent="0.25">
      <c r="C200" s="289" t="s">
        <v>450</v>
      </c>
      <c r="D200" s="289" t="str">
        <f>ISO10456_T3[[#This Row],[Materiales o aplicación]]&amp;", ρ ="&amp;ISO10456_T3[[#This Row],[Densidad
ρ
kg/m³]]&amp;" kg/m³"</f>
        <v>Poliamida (nylon), ρ =1150 kg/m³</v>
      </c>
      <c r="E200" s="260" t="s">
        <v>301</v>
      </c>
      <c r="F200" s="276">
        <v>1150</v>
      </c>
      <c r="G200" s="277">
        <v>0.25</v>
      </c>
      <c r="H200" s="258">
        <v>1600</v>
      </c>
      <c r="I200" s="258">
        <v>50000</v>
      </c>
      <c r="J200" s="263">
        <v>50000</v>
      </c>
    </row>
    <row r="201" spans="3:10" ht="15" customHeight="1" x14ac:dyDescent="0.25">
      <c r="C201" s="289" t="s">
        <v>450</v>
      </c>
      <c r="D201" s="289" t="str">
        <f>ISO10456_T3[[#This Row],[Materiales o aplicación]]&amp;", ρ ="&amp;ISO10456_T3[[#This Row],[Densidad
ρ
kg/m³]]&amp;" kg/m³"</f>
        <v>Poliamida 6,6 con 25% fibra de vidrio, ρ =1450 kg/m³</v>
      </c>
      <c r="E201" s="260" t="s">
        <v>302</v>
      </c>
      <c r="F201" s="276">
        <v>1450</v>
      </c>
      <c r="G201" s="277">
        <v>0.3</v>
      </c>
      <c r="H201" s="258">
        <v>1600</v>
      </c>
      <c r="I201" s="258">
        <v>50000</v>
      </c>
      <c r="J201" s="263">
        <v>50000</v>
      </c>
    </row>
    <row r="202" spans="3:10" ht="15" customHeight="1" x14ac:dyDescent="0.25">
      <c r="C202" s="289" t="s">
        <v>450</v>
      </c>
      <c r="D202" s="289" t="str">
        <f>ISO10456_T3[[#This Row],[Materiales o aplicación]]&amp;", ρ ="&amp;ISO10456_T3[[#This Row],[Densidad
ρ
kg/m³]]&amp;" kg/m³"</f>
        <v>Polietileno/polietano, alta densidad, ρ =980 kg/m³</v>
      </c>
      <c r="E202" s="260" t="s">
        <v>303</v>
      </c>
      <c r="F202" s="276">
        <v>980</v>
      </c>
      <c r="G202" s="277">
        <v>0.5</v>
      </c>
      <c r="H202" s="258">
        <v>1800</v>
      </c>
      <c r="I202" s="258">
        <v>100000</v>
      </c>
      <c r="J202" s="263">
        <v>100000</v>
      </c>
    </row>
    <row r="203" spans="3:10" ht="15" customHeight="1" x14ac:dyDescent="0.25">
      <c r="C203" s="289" t="s">
        <v>450</v>
      </c>
      <c r="D203" s="289" t="str">
        <f>ISO10456_T3[[#This Row],[Materiales o aplicación]]&amp;", ρ ="&amp;ISO10456_T3[[#This Row],[Densidad
ρ
kg/m³]]&amp;" kg/m³"</f>
        <v>Polietileno/polietano, baja densidad, ρ =920 kg/m³</v>
      </c>
      <c r="E203" s="260" t="s">
        <v>304</v>
      </c>
      <c r="F203" s="276">
        <v>920</v>
      </c>
      <c r="G203" s="277">
        <v>0.33</v>
      </c>
      <c r="H203" s="258">
        <v>2200</v>
      </c>
      <c r="I203" s="258">
        <v>100000</v>
      </c>
      <c r="J203" s="263">
        <v>100000</v>
      </c>
    </row>
    <row r="204" spans="3:10" ht="15" customHeight="1" x14ac:dyDescent="0.25">
      <c r="C204" s="289" t="s">
        <v>450</v>
      </c>
      <c r="D204" s="289" t="str">
        <f>ISO10456_T3[[#This Row],[Materiales o aplicación]]&amp;", ρ ="&amp;ISO10456_T3[[#This Row],[Densidad
ρ
kg/m³]]&amp;" kg/m³"</f>
        <v>Poliestireno, ρ =1050 kg/m³</v>
      </c>
      <c r="E204" s="260" t="s">
        <v>305</v>
      </c>
      <c r="F204" s="276">
        <v>1050</v>
      </c>
      <c r="G204" s="277">
        <v>0.16</v>
      </c>
      <c r="H204" s="258">
        <v>1300</v>
      </c>
      <c r="I204" s="258">
        <v>100000</v>
      </c>
      <c r="J204" s="263">
        <v>100000</v>
      </c>
    </row>
    <row r="205" spans="3:10" ht="15" customHeight="1" x14ac:dyDescent="0.25">
      <c r="C205" s="289" t="s">
        <v>450</v>
      </c>
      <c r="D205" s="289" t="str">
        <f>ISO10456_T3[[#This Row],[Materiales o aplicación]]&amp;", ρ ="&amp;ISO10456_T3[[#This Row],[Densidad
ρ
kg/m³]]&amp;" kg/m³"</f>
        <v>Polipropileno, ρ =910 kg/m³</v>
      </c>
      <c r="E205" s="260" t="s">
        <v>306</v>
      </c>
      <c r="F205" s="276">
        <v>910</v>
      </c>
      <c r="G205" s="277">
        <v>0.22</v>
      </c>
      <c r="H205" s="258">
        <v>1800</v>
      </c>
      <c r="I205" s="258">
        <v>10000</v>
      </c>
      <c r="J205" s="263">
        <v>10000</v>
      </c>
    </row>
    <row r="206" spans="3:10" ht="15" customHeight="1" x14ac:dyDescent="0.25">
      <c r="C206" s="289" t="s">
        <v>450</v>
      </c>
      <c r="D206" s="289" t="str">
        <f>ISO10456_T3[[#This Row],[Materiales o aplicación]]&amp;", ρ ="&amp;ISO10456_T3[[#This Row],[Densidad
ρ
kg/m³]]&amp;" kg/m³"</f>
        <v>Polipropileno con 25% fibra de vidrio, ρ =1200 kg/m³</v>
      </c>
      <c r="E206" s="260" t="s">
        <v>307</v>
      </c>
      <c r="F206" s="276">
        <v>1200</v>
      </c>
      <c r="G206" s="277">
        <v>0.25</v>
      </c>
      <c r="H206" s="258">
        <v>1800</v>
      </c>
      <c r="I206" s="258">
        <v>10000</v>
      </c>
      <c r="J206" s="263">
        <v>10000</v>
      </c>
    </row>
    <row r="207" spans="3:10" ht="15" customHeight="1" x14ac:dyDescent="0.25">
      <c r="C207" s="289" t="s">
        <v>450</v>
      </c>
      <c r="D207" s="289" t="str">
        <f>ISO10456_T3[[#This Row],[Materiales o aplicación]]&amp;", ρ ="&amp;ISO10456_T3[[#This Row],[Densidad
ρ
kg/m³]]&amp;" kg/m³"</f>
        <v>Poliuretano (PU), ρ =1200 kg/m³</v>
      </c>
      <c r="E207" s="260" t="s">
        <v>308</v>
      </c>
      <c r="F207" s="276">
        <v>1200</v>
      </c>
      <c r="G207" s="277">
        <v>0.25</v>
      </c>
      <c r="H207" s="258">
        <v>1800</v>
      </c>
      <c r="I207" s="258">
        <v>6000</v>
      </c>
      <c r="J207" s="263">
        <v>6000</v>
      </c>
    </row>
    <row r="208" spans="3:10" ht="15" customHeight="1" x14ac:dyDescent="0.25">
      <c r="C208" s="289" t="s">
        <v>450</v>
      </c>
      <c r="D208" s="289" t="str">
        <f>ISO10456_T3[[#This Row],[Materiales o aplicación]]&amp;", ρ ="&amp;ISO10456_T3[[#This Row],[Densidad
ρ
kg/m³]]&amp;" kg/m³"</f>
        <v>Resina epóxica, ρ =1200 kg/m³</v>
      </c>
      <c r="E208" s="260" t="s">
        <v>309</v>
      </c>
      <c r="F208" s="276">
        <v>1200</v>
      </c>
      <c r="G208" s="277">
        <v>0.2</v>
      </c>
      <c r="H208" s="258">
        <v>1400</v>
      </c>
      <c r="I208" s="258">
        <v>10000</v>
      </c>
      <c r="J208" s="263">
        <v>10000</v>
      </c>
    </row>
    <row r="209" spans="3:10" ht="15" customHeight="1" x14ac:dyDescent="0.25">
      <c r="C209" s="289" t="s">
        <v>450</v>
      </c>
      <c r="D209" s="289" t="str">
        <f>ISO10456_T3[[#This Row],[Materiales o aplicación]]&amp;", ρ ="&amp;ISO10456_T3[[#This Row],[Densidad
ρ
kg/m³]]&amp;" kg/m³"</f>
        <v>Resina fenólica, ρ =1300 kg/m³</v>
      </c>
      <c r="E209" s="260" t="s">
        <v>310</v>
      </c>
      <c r="F209" s="276">
        <v>1300</v>
      </c>
      <c r="G209" s="277">
        <v>0.3</v>
      </c>
      <c r="H209" s="258">
        <v>1700</v>
      </c>
      <c r="I209" s="258">
        <v>100000</v>
      </c>
      <c r="J209" s="263">
        <v>100000</v>
      </c>
    </row>
    <row r="210" spans="3:10" ht="15" customHeight="1" x14ac:dyDescent="0.25">
      <c r="C210" s="290" t="s">
        <v>450</v>
      </c>
      <c r="D210" s="290" t="str">
        <f>ISO10456_T3[[#This Row],[Materiales o aplicación]]&amp;", ρ ="&amp;ISO10456_T3[[#This Row],[Densidad
ρ
kg/m³]]&amp;" kg/m³"</f>
        <v>Resina poliéster, ρ =1400 kg/m³</v>
      </c>
      <c r="E210" s="261" t="s">
        <v>311</v>
      </c>
      <c r="F210" s="269">
        <v>1400</v>
      </c>
      <c r="G210" s="270">
        <v>0.19</v>
      </c>
      <c r="H210" s="271">
        <v>1200</v>
      </c>
      <c r="I210" s="271">
        <v>10000</v>
      </c>
      <c r="J210" s="272">
        <v>10000</v>
      </c>
    </row>
    <row r="211" spans="3:10" ht="15" hidden="1" customHeight="1" x14ac:dyDescent="0.25">
      <c r="C211" s="288"/>
      <c r="D211" s="315" t="s">
        <v>551</v>
      </c>
      <c r="E211" s="273"/>
      <c r="F211" s="264"/>
      <c r="G211" s="265"/>
      <c r="H211" s="266"/>
      <c r="I211" s="266"/>
      <c r="J211" s="262"/>
    </row>
    <row r="212" spans="3:10" ht="15" customHeight="1" x14ac:dyDescent="0.25">
      <c r="C212" s="274" t="s">
        <v>40</v>
      </c>
      <c r="D212" s="274" t="str">
        <f>ISO10456_T3[[#This Row],[Materiales o aplicación]]&amp;", ρ ="&amp;ISO10456_T3[[#This Row],[Densidad
ρ
kg/m³]]&amp;" kg/m³"</f>
        <v>Natural, ρ =910 kg/m³</v>
      </c>
      <c r="E212" s="260" t="s">
        <v>312</v>
      </c>
      <c r="F212" s="276">
        <v>910</v>
      </c>
      <c r="G212" s="277">
        <v>0.13</v>
      </c>
      <c r="H212" s="258">
        <v>1100</v>
      </c>
      <c r="I212" s="258">
        <v>10000</v>
      </c>
      <c r="J212" s="263">
        <v>10000</v>
      </c>
    </row>
    <row r="213" spans="3:10" ht="15" customHeight="1" x14ac:dyDescent="0.25">
      <c r="C213" s="274" t="s">
        <v>40</v>
      </c>
      <c r="D213" s="274" t="str">
        <f>ISO10456_T3[[#This Row],[Materiales o aplicación]]&amp;", ρ ="&amp;ISO10456_T3[[#This Row],[Densidad
ρ
kg/m³]]&amp;" kg/m³"</f>
        <v>Neopreno (policloropreno), ρ =1240 kg/m³</v>
      </c>
      <c r="E213" s="260" t="s">
        <v>313</v>
      </c>
      <c r="F213" s="276">
        <v>1240</v>
      </c>
      <c r="G213" s="277">
        <v>0.23</v>
      </c>
      <c r="H213" s="258">
        <v>2140</v>
      </c>
      <c r="I213" s="258">
        <v>10000</v>
      </c>
      <c r="J213" s="263">
        <v>10000</v>
      </c>
    </row>
    <row r="214" spans="3:10" ht="15" customHeight="1" x14ac:dyDescent="0.25">
      <c r="C214" s="274" t="s">
        <v>40</v>
      </c>
      <c r="D214" s="274" t="str">
        <f>ISO10456_T3[[#This Row],[Materiales o aplicación]]&amp;", ρ ="&amp;ISO10456_T3[[#This Row],[Densidad
ρ
kg/m³]]&amp;" kg/m³"</f>
        <v>Butilo, (isobutano), sólido/caliente derretido, ρ =1200 kg/m³</v>
      </c>
      <c r="E214" s="260" t="s">
        <v>314</v>
      </c>
      <c r="F214" s="276">
        <v>1200</v>
      </c>
      <c r="G214" s="277">
        <v>0.24</v>
      </c>
      <c r="H214" s="258">
        <v>1400</v>
      </c>
      <c r="I214" s="258">
        <v>200000</v>
      </c>
      <c r="J214" s="263">
        <v>200000</v>
      </c>
    </row>
    <row r="215" spans="3:10" ht="15" customHeight="1" x14ac:dyDescent="0.25">
      <c r="C215" s="274" t="s">
        <v>40</v>
      </c>
      <c r="D215" s="274" t="str">
        <f>ISO10456_T3[[#This Row],[Materiales o aplicación]]&amp;", ρ ="&amp;ISO10456_T3[[#This Row],[Densidad
ρ
kg/m³]]&amp;" kg/m³"</f>
        <v>Espuma de caucho, ρ =60-80 kg/m³</v>
      </c>
      <c r="E215" s="260" t="s">
        <v>315</v>
      </c>
      <c r="F215" s="276" t="s">
        <v>92</v>
      </c>
      <c r="G215" s="277">
        <v>0.06</v>
      </c>
      <c r="H215" s="258">
        <v>1500</v>
      </c>
      <c r="I215" s="258">
        <v>7000</v>
      </c>
      <c r="J215" s="263">
        <v>7000</v>
      </c>
    </row>
    <row r="216" spans="3:10" ht="15" customHeight="1" x14ac:dyDescent="0.25">
      <c r="C216" s="274" t="s">
        <v>40</v>
      </c>
      <c r="D216" s="274" t="str">
        <f>ISO10456_T3[[#This Row],[Materiales o aplicación]]&amp;", ρ ="&amp;ISO10456_T3[[#This Row],[Densidad
ρ
kg/m³]]&amp;" kg/m³"</f>
        <v>Caucho duro (ebonita), sólido, ρ =1200 kg/m³</v>
      </c>
      <c r="E216" s="260" t="s">
        <v>316</v>
      </c>
      <c r="F216" s="276">
        <v>1200</v>
      </c>
      <c r="G216" s="277">
        <v>0.17</v>
      </c>
      <c r="H216" s="258">
        <v>1400</v>
      </c>
      <c r="I216" s="258" t="s">
        <v>60</v>
      </c>
      <c r="J216" s="263" t="s">
        <v>60</v>
      </c>
    </row>
    <row r="217" spans="3:10" ht="15" customHeight="1" x14ac:dyDescent="0.25">
      <c r="C217" s="274" t="s">
        <v>40</v>
      </c>
      <c r="D217" s="274" t="str">
        <f>ISO10456_T3[[#This Row],[Materiales o aplicación]]&amp;", ρ ="&amp;ISO10456_T3[[#This Row],[Densidad
ρ
kg/m³]]&amp;" kg/m³"</f>
        <v>EPDM, ρ =1150 kg/m³</v>
      </c>
      <c r="E217" s="260" t="s">
        <v>455</v>
      </c>
      <c r="F217" s="276">
        <v>1150</v>
      </c>
      <c r="G217" s="277">
        <v>0.25</v>
      </c>
      <c r="H217" s="258">
        <v>1000</v>
      </c>
      <c r="I217" s="258">
        <v>6000</v>
      </c>
      <c r="J217" s="263">
        <v>6000</v>
      </c>
    </row>
    <row r="218" spans="3:10" ht="15" customHeight="1" x14ac:dyDescent="0.25">
      <c r="C218" s="274" t="s">
        <v>40</v>
      </c>
      <c r="D218" s="274" t="str">
        <f>ISO10456_T3[[#This Row],[Materiales o aplicación]]&amp;", ρ ="&amp;ISO10456_T3[[#This Row],[Densidad
ρ
kg/m³]]&amp;" kg/m³"</f>
        <v>Poliisobutileno, ρ =930 kg/m³</v>
      </c>
      <c r="E218" s="260" t="s">
        <v>317</v>
      </c>
      <c r="F218" s="276">
        <v>930</v>
      </c>
      <c r="G218" s="277">
        <v>0.2</v>
      </c>
      <c r="H218" s="258">
        <v>1100</v>
      </c>
      <c r="I218" s="258">
        <v>10000</v>
      </c>
      <c r="J218" s="263">
        <v>10000</v>
      </c>
    </row>
    <row r="219" spans="3:10" ht="15" customHeight="1" x14ac:dyDescent="0.25">
      <c r="C219" s="274" t="s">
        <v>40</v>
      </c>
      <c r="D219" s="274" t="str">
        <f>ISO10456_T3[[#This Row],[Materiales o aplicación]]&amp;", ρ ="&amp;ISO10456_T3[[#This Row],[Densidad
ρ
kg/m³]]&amp;" kg/m³"</f>
        <v>Polisulfuro, ρ =1700 kg/m³</v>
      </c>
      <c r="E219" s="260" t="s">
        <v>318</v>
      </c>
      <c r="F219" s="276">
        <v>1700</v>
      </c>
      <c r="G219" s="277">
        <v>0.4</v>
      </c>
      <c r="H219" s="258">
        <v>1000</v>
      </c>
      <c r="I219" s="258">
        <v>10000</v>
      </c>
      <c r="J219" s="263">
        <v>10000</v>
      </c>
    </row>
    <row r="220" spans="3:10" ht="15" customHeight="1" x14ac:dyDescent="0.25">
      <c r="C220" s="278" t="s">
        <v>40</v>
      </c>
      <c r="D220" s="278" t="str">
        <f>ISO10456_T3[[#This Row],[Materiales o aplicación]]&amp;", ρ ="&amp;ISO10456_T3[[#This Row],[Densidad
ρ
kg/m³]]&amp;" kg/m³"</f>
        <v>Butadieno, ρ =980 kg/m³</v>
      </c>
      <c r="E220" s="261" t="s">
        <v>319</v>
      </c>
      <c r="F220" s="269">
        <v>980</v>
      </c>
      <c r="G220" s="270">
        <v>0.25</v>
      </c>
      <c r="H220" s="271">
        <v>1000</v>
      </c>
      <c r="I220" s="271">
        <v>100000</v>
      </c>
      <c r="J220" s="272">
        <v>100000</v>
      </c>
    </row>
    <row r="221" spans="3:10" ht="15" hidden="1" customHeight="1" x14ac:dyDescent="0.25">
      <c r="C221" s="288"/>
      <c r="D221" s="315" t="s">
        <v>552</v>
      </c>
      <c r="E221" s="273"/>
      <c r="F221" s="264"/>
      <c r="G221" s="265"/>
      <c r="H221" s="266"/>
      <c r="I221" s="266"/>
      <c r="J221" s="262"/>
    </row>
    <row r="222" spans="3:10" ht="15" customHeight="1" x14ac:dyDescent="0.25">
      <c r="C222" s="291" t="s">
        <v>428</v>
      </c>
      <c r="D222" s="291" t="str">
        <f>ISO10456_T3[[#This Row],[Materiales o aplicación]]&amp;", ρ ="&amp;ISO10456_T3[[#This Row],[Densidad
ρ
kg/m³]]&amp;" kg/m³"</f>
        <v>Gel de sílice (desecante), ρ =720 kg/m³</v>
      </c>
      <c r="E222" s="260" t="s">
        <v>89</v>
      </c>
      <c r="F222" s="276">
        <v>720</v>
      </c>
      <c r="G222" s="277">
        <v>0.13</v>
      </c>
      <c r="H222" s="258">
        <v>1000</v>
      </c>
      <c r="I222" s="258" t="s">
        <v>60</v>
      </c>
      <c r="J222" s="263" t="s">
        <v>60</v>
      </c>
    </row>
    <row r="223" spans="3:10" ht="15" customHeight="1" x14ac:dyDescent="0.25">
      <c r="C223" s="291" t="s">
        <v>428</v>
      </c>
      <c r="D223" s="291" t="str">
        <f>ISO10456_T3[[#This Row],[Materiales o aplicación]]&amp;", ρ ="&amp;ISO10456_T3[[#This Row],[Densidad
ρ
kg/m³]]&amp;" kg/m³"</f>
        <v>Silicona, pura, ρ =1200 kg/m³</v>
      </c>
      <c r="E223" s="260" t="s">
        <v>90</v>
      </c>
      <c r="F223" s="276">
        <v>1200</v>
      </c>
      <c r="G223" s="277">
        <v>0.35</v>
      </c>
      <c r="H223" s="258">
        <v>1000</v>
      </c>
      <c r="I223" s="258">
        <v>5000</v>
      </c>
      <c r="J223" s="263">
        <v>5000</v>
      </c>
    </row>
    <row r="224" spans="3:10" ht="15" customHeight="1" x14ac:dyDescent="0.25">
      <c r="C224" s="291" t="s">
        <v>428</v>
      </c>
      <c r="D224" s="291" t="str">
        <f>ISO10456_T3[[#This Row],[Materiales o aplicación]]&amp;", ρ ="&amp;ISO10456_T3[[#This Row],[Densidad
ρ
kg/m³]]&amp;" kg/m³"</f>
        <v>Silicona, rellena, ρ =1450 kg/m³</v>
      </c>
      <c r="E224" s="260" t="s">
        <v>91</v>
      </c>
      <c r="F224" s="276">
        <v>1450</v>
      </c>
      <c r="G224" s="277">
        <v>0.5</v>
      </c>
      <c r="H224" s="258">
        <v>1000</v>
      </c>
      <c r="I224" s="258">
        <v>5000</v>
      </c>
      <c r="J224" s="263">
        <v>5000</v>
      </c>
    </row>
    <row r="225" spans="3:10" ht="15" customHeight="1" x14ac:dyDescent="0.25">
      <c r="C225" s="291" t="s">
        <v>428</v>
      </c>
      <c r="D225" s="291" t="str">
        <f>ISO10456_T3[[#This Row],[Materiales o aplicación]]&amp;", ρ ="&amp;ISO10456_T3[[#This Row],[Densidad
ρ
kg/m³]]&amp;" kg/m³"</f>
        <v>Espuma de silicona, ρ =750 kg/m³</v>
      </c>
      <c r="E225" s="260" t="s">
        <v>88</v>
      </c>
      <c r="F225" s="276">
        <v>750</v>
      </c>
      <c r="G225" s="277">
        <v>0.12</v>
      </c>
      <c r="H225" s="258">
        <v>1000</v>
      </c>
      <c r="I225" s="258">
        <v>10000</v>
      </c>
      <c r="J225" s="263">
        <v>10000</v>
      </c>
    </row>
    <row r="226" spans="3:10" ht="15" customHeight="1" x14ac:dyDescent="0.25">
      <c r="C226" s="291" t="s">
        <v>428</v>
      </c>
      <c r="D226" s="291" t="str">
        <f>ISO10456_T3[[#This Row],[Materiales o aplicación]]&amp;", ρ ="&amp;ISO10456_T3[[#This Row],[Densidad
ρ
kg/m³]]&amp;" kg/m³"</f>
        <v>uretano/poliuretano (quiebre térmico), ρ =1300 kg/m³</v>
      </c>
      <c r="E226" s="260" t="s">
        <v>87</v>
      </c>
      <c r="F226" s="276">
        <v>1300</v>
      </c>
      <c r="G226" s="277">
        <v>0.21</v>
      </c>
      <c r="H226" s="258">
        <v>1800</v>
      </c>
      <c r="I226" s="258">
        <v>60</v>
      </c>
      <c r="J226" s="263">
        <v>60</v>
      </c>
    </row>
    <row r="227" spans="3:10" ht="15" customHeight="1" x14ac:dyDescent="0.25">
      <c r="C227" s="291" t="s">
        <v>428</v>
      </c>
      <c r="D227" s="291" t="str">
        <f>ISO10456_T3[[#This Row],[Materiales o aplicación]]&amp;", ρ ="&amp;ISO10456_T3[[#This Row],[Densidad
ρ
kg/m³]]&amp;" kg/m³"</f>
        <v>PVC, flexible, con 40% de suavisante, ρ =1200 kg/m³</v>
      </c>
      <c r="E227" s="260" t="s">
        <v>454</v>
      </c>
      <c r="F227" s="276">
        <v>1200</v>
      </c>
      <c r="G227" s="277">
        <v>0.14000000000000001</v>
      </c>
      <c r="H227" s="258">
        <v>1000</v>
      </c>
      <c r="I227" s="258">
        <v>100000</v>
      </c>
      <c r="J227" s="263">
        <v>100000</v>
      </c>
    </row>
    <row r="228" spans="3:10" ht="15" customHeight="1" x14ac:dyDescent="0.25">
      <c r="C228" s="291" t="s">
        <v>428</v>
      </c>
      <c r="D228" s="291" t="str">
        <f>ISO10456_T3[[#This Row],[Materiales o aplicación]]&amp;", ρ ="&amp;ISO10456_T3[[#This Row],[Densidad
ρ
kg/m³]]&amp;" kg/m³"</f>
        <v>espuma elastomérica, flexible, ρ =60-80 kg/m³</v>
      </c>
      <c r="E228" s="260" t="s">
        <v>86</v>
      </c>
      <c r="F228" s="276" t="s">
        <v>92</v>
      </c>
      <c r="G228" s="277">
        <v>0.05</v>
      </c>
      <c r="H228" s="258">
        <v>1500</v>
      </c>
      <c r="I228" s="258">
        <v>10000</v>
      </c>
      <c r="J228" s="263">
        <v>10000</v>
      </c>
    </row>
    <row r="229" spans="3:10" ht="15" customHeight="1" x14ac:dyDescent="0.25">
      <c r="C229" s="291" t="s">
        <v>428</v>
      </c>
      <c r="D229" s="291" t="str">
        <f>ISO10456_T3[[#This Row],[Materiales o aplicación]]&amp;", ρ ="&amp;ISO10456_T3[[#This Row],[Densidad
ρ
kg/m³]]&amp;" kg/m³"</f>
        <v>espuma de poliuretano (PU), ρ =70 kg/m³</v>
      </c>
      <c r="E229" s="260" t="s">
        <v>85</v>
      </c>
      <c r="F229" s="276">
        <v>70</v>
      </c>
      <c r="G229" s="277">
        <v>0.05</v>
      </c>
      <c r="H229" s="258">
        <v>1500</v>
      </c>
      <c r="I229" s="258">
        <v>60</v>
      </c>
      <c r="J229" s="263">
        <v>60</v>
      </c>
    </row>
    <row r="230" spans="3:10" ht="15" customHeight="1" x14ac:dyDescent="0.25">
      <c r="C230" s="267" t="s">
        <v>428</v>
      </c>
      <c r="D230" s="267" t="str">
        <f>ISO10456_T3[[#This Row],[Materiales o aplicación]]&amp;", ρ ="&amp;ISO10456_T3[[#This Row],[Densidad
ρ
kg/m³]]&amp;" kg/m³"</f>
        <v>Espuma de polietileno, ρ =70 kg/m³</v>
      </c>
      <c r="E230" s="261" t="s">
        <v>84</v>
      </c>
      <c r="F230" s="269">
        <v>70</v>
      </c>
      <c r="G230" s="270">
        <v>0.05</v>
      </c>
      <c r="H230" s="271">
        <v>2300</v>
      </c>
      <c r="I230" s="271">
        <v>100</v>
      </c>
      <c r="J230" s="272">
        <v>100</v>
      </c>
    </row>
    <row r="231" spans="3:10" ht="15" hidden="1" customHeight="1" x14ac:dyDescent="0.25">
      <c r="C231" s="292"/>
      <c r="D231" s="315" t="s">
        <v>553</v>
      </c>
      <c r="E231" s="273"/>
      <c r="F231" s="264"/>
      <c r="G231" s="265"/>
      <c r="H231" s="266"/>
      <c r="I231" s="266"/>
      <c r="J231" s="262"/>
    </row>
    <row r="232" spans="3:10" ht="15" customHeight="1" x14ac:dyDescent="0.25">
      <c r="C232" s="274" t="s">
        <v>330</v>
      </c>
      <c r="D232" s="274" t="str">
        <f>ISO10456_T3[[#This Row],[Materiales o aplicación]]&amp;", ρ ="&amp;ISO10456_T3[[#This Row],[Densidad
ρ
kg/m³]]&amp;" kg/m³"</f>
        <v>Yeso, ρ =600 kg/m³</v>
      </c>
      <c r="E232" s="260" t="s">
        <v>330</v>
      </c>
      <c r="F232" s="276">
        <v>600</v>
      </c>
      <c r="G232" s="277">
        <v>0.18</v>
      </c>
      <c r="H232" s="258">
        <v>1000</v>
      </c>
      <c r="I232" s="258">
        <v>10</v>
      </c>
      <c r="J232" s="263">
        <v>4</v>
      </c>
    </row>
    <row r="233" spans="3:10" ht="15" customHeight="1" x14ac:dyDescent="0.25">
      <c r="C233" s="274" t="s">
        <v>330</v>
      </c>
      <c r="D233" s="274" t="str">
        <f>ISO10456_T3[[#This Row],[Materiales o aplicación]]&amp;", ρ ="&amp;ISO10456_T3[[#This Row],[Densidad
ρ
kg/m³]]&amp;" kg/m³"</f>
        <v>Yeso, ρ =900 kg/m³</v>
      </c>
      <c r="E233" s="260" t="s">
        <v>330</v>
      </c>
      <c r="F233" s="276">
        <v>900</v>
      </c>
      <c r="G233" s="277">
        <v>0.4</v>
      </c>
      <c r="H233" s="258">
        <v>1000</v>
      </c>
      <c r="I233" s="258">
        <v>10</v>
      </c>
      <c r="J233" s="263">
        <v>4</v>
      </c>
    </row>
    <row r="234" spans="3:10" ht="15" customHeight="1" x14ac:dyDescent="0.25">
      <c r="C234" s="274" t="s">
        <v>330</v>
      </c>
      <c r="D234" s="274" t="str">
        <f>ISO10456_T3[[#This Row],[Materiales o aplicación]]&amp;", ρ ="&amp;ISO10456_T3[[#This Row],[Densidad
ρ
kg/m³]]&amp;" kg/m³"</f>
        <v>Yeso, ρ =1200 kg/m³</v>
      </c>
      <c r="E234" s="260" t="s">
        <v>330</v>
      </c>
      <c r="F234" s="276">
        <v>1200</v>
      </c>
      <c r="G234" s="277">
        <v>0.56999999999999995</v>
      </c>
      <c r="H234" s="258">
        <v>1000</v>
      </c>
      <c r="I234" s="258">
        <v>10</v>
      </c>
      <c r="J234" s="263">
        <v>4</v>
      </c>
    </row>
    <row r="235" spans="3:10" ht="15" customHeight="1" x14ac:dyDescent="0.25">
      <c r="C235" s="274" t="s">
        <v>330</v>
      </c>
      <c r="D235" s="274" t="str">
        <f>ISO10456_T3[[#This Row],[Materiales o aplicación]]&amp;", ρ ="&amp;ISO10456_T3[[#This Row],[Densidad
ρ
kg/m³]]&amp;" kg/m³"</f>
        <v>Yeso, ρ =1500 kg/m³</v>
      </c>
      <c r="E235" s="260" t="s">
        <v>330</v>
      </c>
      <c r="F235" s="276">
        <v>1500</v>
      </c>
      <c r="G235" s="277">
        <v>0.8</v>
      </c>
      <c r="H235" s="258">
        <v>1000</v>
      </c>
      <c r="I235" s="258">
        <v>10</v>
      </c>
      <c r="J235" s="263">
        <v>4</v>
      </c>
    </row>
    <row r="236" spans="3:10" ht="15" customHeight="1" x14ac:dyDescent="0.25">
      <c r="C236" s="274" t="s">
        <v>330</v>
      </c>
      <c r="D236" s="274" t="str">
        <f>ISO10456_T3[[#This Row],[Materiales o aplicación]]&amp;", ρ ="&amp;ISO10456_T3[[#This Row],[Densidad
ρ
kg/m³]]&amp;" kg/m³"</f>
        <v>Yeso cartón, ρ =700 kg/m³</v>
      </c>
      <c r="E236" s="260" t="s">
        <v>331</v>
      </c>
      <c r="F236" s="276">
        <v>700</v>
      </c>
      <c r="G236" s="277">
        <v>0.8</v>
      </c>
      <c r="H236" s="258">
        <v>1000</v>
      </c>
      <c r="I236" s="258">
        <v>10</v>
      </c>
      <c r="J236" s="263">
        <v>4</v>
      </c>
    </row>
    <row r="237" spans="3:10" ht="15" customHeight="1" x14ac:dyDescent="0.25">
      <c r="C237" s="278" t="s">
        <v>330</v>
      </c>
      <c r="D237" s="278" t="str">
        <f>ISO10456_T3[[#This Row],[Materiales o aplicación]]&amp;", ρ ="&amp;ISO10456_T3[[#This Row],[Densidad
ρ
kg/m³]]&amp;" kg/m³"</f>
        <v>Yeso, ρ =900 kg/m³</v>
      </c>
      <c r="E237" s="261" t="s">
        <v>330</v>
      </c>
      <c r="F237" s="269">
        <v>900</v>
      </c>
      <c r="G237" s="270">
        <v>1</v>
      </c>
      <c r="H237" s="271">
        <v>1000</v>
      </c>
      <c r="I237" s="271">
        <v>10</v>
      </c>
      <c r="J237" s="272">
        <v>4</v>
      </c>
    </row>
    <row r="238" spans="3:10" ht="15" hidden="1" customHeight="1" x14ac:dyDescent="0.25">
      <c r="C238" s="288"/>
      <c r="D238" s="315" t="s">
        <v>554</v>
      </c>
      <c r="E238" s="273"/>
      <c r="F238" s="264"/>
      <c r="G238" s="265"/>
      <c r="H238" s="266"/>
      <c r="I238" s="266"/>
      <c r="J238" s="262"/>
    </row>
    <row r="239" spans="3:10" ht="15" customHeight="1" x14ac:dyDescent="0.25">
      <c r="C239" s="293" t="s">
        <v>332</v>
      </c>
      <c r="D239" s="293" t="str">
        <f>ISO10456_T3[[#This Row],[Materiales o aplicación]]&amp;", ρ ="&amp;ISO10456_T3[[#This Row],[Densidad
ρ
kg/m³]]&amp;" kg/m³"</f>
        <v>Enlucido de yeso aislante, ρ =600 kg/m³</v>
      </c>
      <c r="E239" s="260" t="s">
        <v>333</v>
      </c>
      <c r="F239" s="276">
        <v>600</v>
      </c>
      <c r="G239" s="277">
        <v>0.18</v>
      </c>
      <c r="H239" s="258">
        <v>1000</v>
      </c>
      <c r="I239" s="258">
        <v>10</v>
      </c>
      <c r="J239" s="263">
        <v>6</v>
      </c>
    </row>
    <row r="240" spans="3:10" ht="15" customHeight="1" x14ac:dyDescent="0.25">
      <c r="C240" s="293" t="s">
        <v>332</v>
      </c>
      <c r="D240" s="293" t="str">
        <f>ISO10456_T3[[#This Row],[Materiales o aplicación]]&amp;", ρ ="&amp;ISO10456_T3[[#This Row],[Densidad
ρ
kg/m³]]&amp;" kg/m³"</f>
        <v>Enlucido de yeso, ρ =1000 kg/m³</v>
      </c>
      <c r="E240" s="260" t="s">
        <v>334</v>
      </c>
      <c r="F240" s="276">
        <v>1000</v>
      </c>
      <c r="G240" s="277">
        <v>0.4</v>
      </c>
      <c r="H240" s="258">
        <v>1000</v>
      </c>
      <c r="I240" s="258">
        <v>10</v>
      </c>
      <c r="J240" s="263">
        <v>6</v>
      </c>
    </row>
    <row r="241" spans="3:10" ht="15" customHeight="1" x14ac:dyDescent="0.25">
      <c r="C241" s="293" t="s">
        <v>332</v>
      </c>
      <c r="D241" s="293" t="str">
        <f>ISO10456_T3[[#This Row],[Materiales o aplicación]]&amp;", ρ ="&amp;ISO10456_T3[[#This Row],[Densidad
ρ
kg/m³]]&amp;" kg/m³"</f>
        <v>Enlucido de yeso, ρ =1300 kg/m³</v>
      </c>
      <c r="E241" s="260" t="s">
        <v>334</v>
      </c>
      <c r="F241" s="276">
        <v>1300</v>
      </c>
      <c r="G241" s="277">
        <v>0.56999999999999995</v>
      </c>
      <c r="H241" s="258">
        <v>1000</v>
      </c>
      <c r="I241" s="258">
        <v>10</v>
      </c>
      <c r="J241" s="263">
        <v>6</v>
      </c>
    </row>
    <row r="242" spans="3:10" ht="15" customHeight="1" x14ac:dyDescent="0.25">
      <c r="C242" s="293" t="s">
        <v>332</v>
      </c>
      <c r="D242" s="293" t="str">
        <f>ISO10456_T3[[#This Row],[Materiales o aplicación]]&amp;", ρ ="&amp;ISO10456_T3[[#This Row],[Densidad
ρ
kg/m³]]&amp;" kg/m³"</f>
        <v>Yeso, arena, ρ =1600 kg/m³</v>
      </c>
      <c r="E242" s="260" t="s">
        <v>335</v>
      </c>
      <c r="F242" s="276">
        <v>1600</v>
      </c>
      <c r="G242" s="277">
        <v>0.8</v>
      </c>
      <c r="H242" s="258">
        <v>1000</v>
      </c>
      <c r="I242" s="258">
        <v>10</v>
      </c>
      <c r="J242" s="263">
        <v>6</v>
      </c>
    </row>
    <row r="243" spans="3:10" ht="15" customHeight="1" x14ac:dyDescent="0.25">
      <c r="C243" s="293" t="s">
        <v>332</v>
      </c>
      <c r="D243" s="293" t="str">
        <f>ISO10456_T3[[#This Row],[Materiales o aplicación]]&amp;", ρ ="&amp;ISO10456_T3[[#This Row],[Densidad
ρ
kg/m³]]&amp;" kg/m³"</f>
        <v>Cal, arena, ρ =1600 kg/m³</v>
      </c>
      <c r="E243" s="260" t="s">
        <v>336</v>
      </c>
      <c r="F243" s="276">
        <v>1600</v>
      </c>
      <c r="G243" s="277">
        <v>0.8</v>
      </c>
      <c r="H243" s="258">
        <v>1000</v>
      </c>
      <c r="I243" s="258">
        <v>10</v>
      </c>
      <c r="J243" s="263">
        <v>6</v>
      </c>
    </row>
    <row r="244" spans="3:10" ht="15" customHeight="1" x14ac:dyDescent="0.25">
      <c r="C244" s="294" t="s">
        <v>332</v>
      </c>
      <c r="D244" s="294" t="str">
        <f>ISO10456_T3[[#This Row],[Materiales o aplicación]]&amp;", ρ ="&amp;ISO10456_T3[[#This Row],[Densidad
ρ
kg/m³]]&amp;" kg/m³"</f>
        <v>Cemento, arena, ρ =1800 kg/m³</v>
      </c>
      <c r="E244" s="261" t="s">
        <v>337</v>
      </c>
      <c r="F244" s="269">
        <v>1800</v>
      </c>
      <c r="G244" s="270">
        <v>1</v>
      </c>
      <c r="H244" s="271">
        <v>1000</v>
      </c>
      <c r="I244" s="271">
        <v>10</v>
      </c>
      <c r="J244" s="272">
        <v>6</v>
      </c>
    </row>
    <row r="245" spans="3:10" ht="15" hidden="1" customHeight="1" x14ac:dyDescent="0.25">
      <c r="C245" s="292"/>
      <c r="D245" s="315" t="s">
        <v>555</v>
      </c>
      <c r="E245" s="273"/>
      <c r="F245" s="264"/>
      <c r="G245" s="265"/>
      <c r="H245" s="266"/>
      <c r="I245" s="266"/>
      <c r="J245" s="262"/>
    </row>
    <row r="246" spans="3:10" ht="15" customHeight="1" x14ac:dyDescent="0.25">
      <c r="C246" s="274" t="s">
        <v>72</v>
      </c>
      <c r="D246" s="274" t="str">
        <f>ISO10456_T3[[#This Row],[Materiales o aplicación]]&amp;", ρ ="&amp;ISO10456_T3[[#This Row],[Densidad
ρ
kg/m³]]&amp;" kg/m³"</f>
        <v>Arcilla o sedimentos, ρ =1200-1800 kg/m³</v>
      </c>
      <c r="E246" s="260" t="s">
        <v>339</v>
      </c>
      <c r="F246" s="276" t="s">
        <v>93</v>
      </c>
      <c r="G246" s="277">
        <v>1.5</v>
      </c>
      <c r="H246" s="258" t="s">
        <v>94</v>
      </c>
      <c r="I246" s="258">
        <v>50</v>
      </c>
      <c r="J246" s="263">
        <v>50</v>
      </c>
    </row>
    <row r="247" spans="3:10" ht="15" customHeight="1" x14ac:dyDescent="0.25">
      <c r="C247" s="278" t="s">
        <v>72</v>
      </c>
      <c r="D247" s="278" t="str">
        <f>ISO10456_T3[[#This Row],[Materiales o aplicación]]&amp;", ρ ="&amp;ISO10456_T3[[#This Row],[Densidad
ρ
kg/m³]]&amp;" kg/m³"</f>
        <v>Arena y grava, ρ =1700-2200 kg/m³</v>
      </c>
      <c r="E247" s="261" t="s">
        <v>338</v>
      </c>
      <c r="F247" s="269" t="s">
        <v>95</v>
      </c>
      <c r="G247" s="270">
        <v>2</v>
      </c>
      <c r="H247" s="271" t="s">
        <v>96</v>
      </c>
      <c r="I247" s="271">
        <v>50</v>
      </c>
      <c r="J247" s="272">
        <v>50</v>
      </c>
    </row>
    <row r="248" spans="3:10" ht="15" hidden="1" customHeight="1" x14ac:dyDescent="0.25">
      <c r="C248" s="288"/>
      <c r="D248" s="315" t="s">
        <v>556</v>
      </c>
      <c r="E248" s="273"/>
      <c r="F248" s="264"/>
      <c r="G248" s="265"/>
      <c r="H248" s="266"/>
      <c r="I248" s="266"/>
      <c r="J248" s="262"/>
    </row>
    <row r="249" spans="3:10" ht="15" customHeight="1" x14ac:dyDescent="0.25">
      <c r="C249" s="274" t="s">
        <v>73</v>
      </c>
      <c r="D249" s="274" t="str">
        <f>ISO10456_T3[[#This Row],[Materiales o aplicación]]&amp;", ρ ="&amp;ISO10456_T3[[#This Row],[Densidad
ρ
kg/m³]]&amp;" kg/m³"</f>
        <v>Natural, roca cristalina, ρ =2800 kg/m³</v>
      </c>
      <c r="E249" s="260" t="s">
        <v>76</v>
      </c>
      <c r="F249" s="276">
        <v>2800</v>
      </c>
      <c r="G249" s="277">
        <v>3.5</v>
      </c>
      <c r="H249" s="258">
        <v>1000</v>
      </c>
      <c r="I249" s="258">
        <v>10000</v>
      </c>
      <c r="J249" s="263">
        <v>10000</v>
      </c>
    </row>
    <row r="250" spans="3:10" ht="15" customHeight="1" x14ac:dyDescent="0.25">
      <c r="C250" s="274" t="s">
        <v>73</v>
      </c>
      <c r="D250" s="274" t="str">
        <f>ISO10456_T3[[#This Row],[Materiales o aplicación]]&amp;", ρ ="&amp;ISO10456_T3[[#This Row],[Densidad
ρ
kg/m³]]&amp;" kg/m³"</f>
        <v>Natural, roca sedimentaria, ρ =2600 kg/m³</v>
      </c>
      <c r="E250" s="260" t="s">
        <v>77</v>
      </c>
      <c r="F250" s="276">
        <v>2600</v>
      </c>
      <c r="G250" s="277">
        <v>2.2999999999999998</v>
      </c>
      <c r="H250" s="258">
        <v>1000</v>
      </c>
      <c r="I250" s="258">
        <v>250</v>
      </c>
      <c r="J250" s="263">
        <v>200</v>
      </c>
    </row>
    <row r="251" spans="3:10" ht="15" customHeight="1" x14ac:dyDescent="0.25">
      <c r="C251" s="274" t="s">
        <v>73</v>
      </c>
      <c r="D251" s="274" t="str">
        <f>ISO10456_T3[[#This Row],[Materiales o aplicación]]&amp;", ρ ="&amp;ISO10456_T3[[#This Row],[Densidad
ρ
kg/m³]]&amp;" kg/m³"</f>
        <v>Natural, roca sedimentaria, liviana, ρ =1500 kg/m³</v>
      </c>
      <c r="E251" s="260" t="s">
        <v>340</v>
      </c>
      <c r="F251" s="276">
        <v>1500</v>
      </c>
      <c r="G251" s="277">
        <v>0.85</v>
      </c>
      <c r="H251" s="258">
        <v>1000</v>
      </c>
      <c r="I251" s="258">
        <v>30</v>
      </c>
      <c r="J251" s="263">
        <v>20</v>
      </c>
    </row>
    <row r="252" spans="3:10" ht="15" customHeight="1" x14ac:dyDescent="0.25">
      <c r="C252" s="274" t="s">
        <v>73</v>
      </c>
      <c r="D252" s="274" t="str">
        <f>ISO10456_T3[[#This Row],[Materiales o aplicación]]&amp;", ρ ="&amp;ISO10456_T3[[#This Row],[Densidad
ρ
kg/m³]]&amp;" kg/m³"</f>
        <v>Natural, porosa, por ej. lava, ρ =1600 kg/m³</v>
      </c>
      <c r="E252" s="260" t="s">
        <v>341</v>
      </c>
      <c r="F252" s="276">
        <v>1600</v>
      </c>
      <c r="G252" s="277">
        <v>0.55000000000000004</v>
      </c>
      <c r="H252" s="258">
        <v>1000</v>
      </c>
      <c r="I252" s="258">
        <v>20</v>
      </c>
      <c r="J252" s="263">
        <v>15</v>
      </c>
    </row>
    <row r="253" spans="3:10" ht="15" customHeight="1" x14ac:dyDescent="0.25">
      <c r="C253" s="274" t="s">
        <v>73</v>
      </c>
      <c r="D253" s="274" t="str">
        <f>ISO10456_T3[[#This Row],[Materiales o aplicación]]&amp;", ρ ="&amp;ISO10456_T3[[#This Row],[Densidad
ρ
kg/m³]]&amp;" kg/m³"</f>
        <v>Basalto, ρ =2700-3000 kg/m³</v>
      </c>
      <c r="E253" s="260" t="s">
        <v>342</v>
      </c>
      <c r="F253" s="276" t="s">
        <v>97</v>
      </c>
      <c r="G253" s="277">
        <v>3.5</v>
      </c>
      <c r="H253" s="258">
        <v>1000</v>
      </c>
      <c r="I253" s="258">
        <v>10000</v>
      </c>
      <c r="J253" s="263">
        <v>10000</v>
      </c>
    </row>
    <row r="254" spans="3:10" ht="15" customHeight="1" x14ac:dyDescent="0.25">
      <c r="C254" s="274" t="s">
        <v>73</v>
      </c>
      <c r="D254" s="274" t="str">
        <f>ISO10456_T3[[#This Row],[Materiales o aplicación]]&amp;", ρ ="&amp;ISO10456_T3[[#This Row],[Densidad
ρ
kg/m³]]&amp;" kg/m³"</f>
        <v>Gneis, ρ =2400-2700 kg/m³</v>
      </c>
      <c r="E254" s="260" t="s">
        <v>343</v>
      </c>
      <c r="F254" s="276" t="s">
        <v>98</v>
      </c>
      <c r="G254" s="277">
        <v>3.5</v>
      </c>
      <c r="H254" s="258">
        <v>1000</v>
      </c>
      <c r="I254" s="258">
        <v>10000</v>
      </c>
      <c r="J254" s="263">
        <v>10000</v>
      </c>
    </row>
    <row r="255" spans="3:10" ht="15" customHeight="1" x14ac:dyDescent="0.25">
      <c r="C255" s="274" t="s">
        <v>73</v>
      </c>
      <c r="D255" s="274" t="str">
        <f>ISO10456_T3[[#This Row],[Materiales o aplicación]]&amp;", ρ ="&amp;ISO10456_T3[[#This Row],[Densidad
ρ
kg/m³]]&amp;" kg/m³"</f>
        <v>Granito, ρ =2500-2700 kg/m³</v>
      </c>
      <c r="E255" s="260" t="s">
        <v>344</v>
      </c>
      <c r="F255" s="276" t="s">
        <v>99</v>
      </c>
      <c r="G255" s="277">
        <v>2.8</v>
      </c>
      <c r="H255" s="258">
        <v>1000</v>
      </c>
      <c r="I255" s="258">
        <v>10000</v>
      </c>
      <c r="J255" s="263">
        <v>10000</v>
      </c>
    </row>
    <row r="256" spans="3:10" ht="15" customHeight="1" x14ac:dyDescent="0.25">
      <c r="C256" s="274" t="s">
        <v>73</v>
      </c>
      <c r="D256" s="274" t="str">
        <f>ISO10456_T3[[#This Row],[Materiales o aplicación]]&amp;", ρ ="&amp;ISO10456_T3[[#This Row],[Densidad
ρ
kg/m³]]&amp;" kg/m³"</f>
        <v>Mármol, ρ =2800 kg/m³</v>
      </c>
      <c r="E256" s="260" t="s">
        <v>345</v>
      </c>
      <c r="F256" s="276">
        <v>2800</v>
      </c>
      <c r="G256" s="277">
        <v>3.5</v>
      </c>
      <c r="H256" s="258">
        <v>1000</v>
      </c>
      <c r="I256" s="258">
        <v>10000</v>
      </c>
      <c r="J256" s="263">
        <v>10000</v>
      </c>
    </row>
    <row r="257" spans="3:10" ht="15" customHeight="1" x14ac:dyDescent="0.25">
      <c r="C257" s="274" t="s">
        <v>73</v>
      </c>
      <c r="D257" s="274" t="str">
        <f>ISO10456_T3[[#This Row],[Materiales o aplicación]]&amp;", ρ ="&amp;ISO10456_T3[[#This Row],[Densidad
ρ
kg/m³]]&amp;" kg/m³"</f>
        <v>Pizarra, ρ =2000-2800 kg/m³</v>
      </c>
      <c r="E257" s="260" t="s">
        <v>346</v>
      </c>
      <c r="F257" s="276" t="s">
        <v>100</v>
      </c>
      <c r="G257" s="277">
        <v>2.2000000000000002</v>
      </c>
      <c r="H257" s="258">
        <v>1000</v>
      </c>
      <c r="I257" s="258">
        <v>1000</v>
      </c>
      <c r="J257" s="263">
        <v>800</v>
      </c>
    </row>
    <row r="258" spans="3:10" ht="15" customHeight="1" x14ac:dyDescent="0.25">
      <c r="C258" s="274" t="s">
        <v>73</v>
      </c>
      <c r="D258" s="274" t="str">
        <f>ISO10456_T3[[#This Row],[Materiales o aplicación]]&amp;", ρ ="&amp;ISO10456_T3[[#This Row],[Densidad
ρ
kg/m³]]&amp;" kg/m³"</f>
        <v>Piedra caliza, extra suave, ρ =1600 kg/m³</v>
      </c>
      <c r="E258" s="260" t="s">
        <v>347</v>
      </c>
      <c r="F258" s="276">
        <v>1600</v>
      </c>
      <c r="G258" s="277">
        <v>0.85</v>
      </c>
      <c r="H258" s="258">
        <v>1000</v>
      </c>
      <c r="I258" s="258">
        <v>30</v>
      </c>
      <c r="J258" s="263">
        <v>20</v>
      </c>
    </row>
    <row r="259" spans="3:10" ht="15" customHeight="1" x14ac:dyDescent="0.25">
      <c r="C259" s="274" t="s">
        <v>73</v>
      </c>
      <c r="D259" s="274" t="str">
        <f>ISO10456_T3[[#This Row],[Materiales o aplicación]]&amp;", ρ ="&amp;ISO10456_T3[[#This Row],[Densidad
ρ
kg/m³]]&amp;" kg/m³"</f>
        <v>Piedra caliza, suave, ρ =1800 kg/m³</v>
      </c>
      <c r="E259" s="260" t="s">
        <v>348</v>
      </c>
      <c r="F259" s="276">
        <v>1800</v>
      </c>
      <c r="G259" s="277">
        <v>1.1000000000000001</v>
      </c>
      <c r="H259" s="258">
        <v>1000</v>
      </c>
      <c r="I259" s="258">
        <v>40</v>
      </c>
      <c r="J259" s="263">
        <v>25</v>
      </c>
    </row>
    <row r="260" spans="3:10" ht="15" customHeight="1" x14ac:dyDescent="0.25">
      <c r="C260" s="274" t="s">
        <v>73</v>
      </c>
      <c r="D260" s="274" t="str">
        <f>ISO10456_T3[[#This Row],[Materiales o aplicación]]&amp;", ρ ="&amp;ISO10456_T3[[#This Row],[Densidad
ρ
kg/m³]]&amp;" kg/m³"</f>
        <v>Piedra caliza, semi dura, ρ =2000 kg/m³</v>
      </c>
      <c r="E260" s="260" t="s">
        <v>349</v>
      </c>
      <c r="F260" s="276">
        <v>2000</v>
      </c>
      <c r="G260" s="277">
        <v>1.4</v>
      </c>
      <c r="H260" s="258">
        <v>1000</v>
      </c>
      <c r="I260" s="258">
        <v>50</v>
      </c>
      <c r="J260" s="263">
        <v>40</v>
      </c>
    </row>
    <row r="261" spans="3:10" ht="15" customHeight="1" x14ac:dyDescent="0.25">
      <c r="C261" s="274" t="s">
        <v>73</v>
      </c>
      <c r="D261" s="274" t="str">
        <f>ISO10456_T3[[#This Row],[Materiales o aplicación]]&amp;", ρ ="&amp;ISO10456_T3[[#This Row],[Densidad
ρ
kg/m³]]&amp;" kg/m³"</f>
        <v>Piedra caliza, dura, ρ =2200 kg/m³</v>
      </c>
      <c r="E261" s="260" t="s">
        <v>350</v>
      </c>
      <c r="F261" s="276">
        <v>2200</v>
      </c>
      <c r="G261" s="277">
        <v>1.7</v>
      </c>
      <c r="H261" s="258">
        <v>1000</v>
      </c>
      <c r="I261" s="258">
        <v>200</v>
      </c>
      <c r="J261" s="263">
        <v>150</v>
      </c>
    </row>
    <row r="262" spans="3:10" ht="15" customHeight="1" x14ac:dyDescent="0.25">
      <c r="C262" s="274" t="s">
        <v>73</v>
      </c>
      <c r="D262" s="274" t="str">
        <f>ISO10456_T3[[#This Row],[Materiales o aplicación]]&amp;", ρ ="&amp;ISO10456_T3[[#This Row],[Densidad
ρ
kg/m³]]&amp;" kg/m³"</f>
        <v>Piedra caliza, extra dura, ρ =2600 kg/m³</v>
      </c>
      <c r="E262" s="260" t="s">
        <v>351</v>
      </c>
      <c r="F262" s="276">
        <v>2600</v>
      </c>
      <c r="G262" s="277">
        <v>2.2999999999999998</v>
      </c>
      <c r="H262" s="258">
        <v>1000</v>
      </c>
      <c r="I262" s="258">
        <v>250</v>
      </c>
      <c r="J262" s="263">
        <v>200</v>
      </c>
    </row>
    <row r="263" spans="3:10" ht="15" customHeight="1" x14ac:dyDescent="0.25">
      <c r="C263" s="274" t="s">
        <v>73</v>
      </c>
      <c r="D263" s="274" t="str">
        <f>ISO10456_T3[[#This Row],[Materiales o aplicación]]&amp;", ρ ="&amp;ISO10456_T3[[#This Row],[Densidad
ρ
kg/m³]]&amp;" kg/m³"</f>
        <v>Roca arenosa (sílice), ρ =2600 kg/m³</v>
      </c>
      <c r="E263" s="260" t="s">
        <v>352</v>
      </c>
      <c r="F263" s="276">
        <v>2600</v>
      </c>
      <c r="G263" s="277">
        <v>2.2999999999999998</v>
      </c>
      <c r="H263" s="258">
        <v>1000</v>
      </c>
      <c r="I263" s="258">
        <v>40</v>
      </c>
      <c r="J263" s="263">
        <v>30</v>
      </c>
    </row>
    <row r="264" spans="3:10" ht="15" customHeight="1" x14ac:dyDescent="0.25">
      <c r="C264" s="274" t="s">
        <v>73</v>
      </c>
      <c r="D264" s="274" t="str">
        <f>ISO10456_T3[[#This Row],[Materiales o aplicación]]&amp;", ρ ="&amp;ISO10456_T3[[#This Row],[Densidad
ρ
kg/m³]]&amp;" kg/m³"</f>
        <v>Piedra pómez natural, ρ =400 kg/m³</v>
      </c>
      <c r="E264" s="260" t="s">
        <v>353</v>
      </c>
      <c r="F264" s="276">
        <v>400</v>
      </c>
      <c r="G264" s="277">
        <v>0.12</v>
      </c>
      <c r="H264" s="258">
        <v>1000</v>
      </c>
      <c r="I264" s="258">
        <v>8</v>
      </c>
      <c r="J264" s="263">
        <v>6</v>
      </c>
    </row>
    <row r="265" spans="3:10" ht="15" customHeight="1" x14ac:dyDescent="0.25">
      <c r="C265" s="278" t="s">
        <v>73</v>
      </c>
      <c r="D265" s="278" t="str">
        <f>ISO10456_T3[[#This Row],[Materiales o aplicación]]&amp;", ρ ="&amp;ISO10456_T3[[#This Row],[Densidad
ρ
kg/m³]]&amp;" kg/m³"</f>
        <v>Piedra artificial, ρ =1750 kg/m³</v>
      </c>
      <c r="E265" s="261" t="s">
        <v>354</v>
      </c>
      <c r="F265" s="269">
        <v>1750</v>
      </c>
      <c r="G265" s="270">
        <v>1.3</v>
      </c>
      <c r="H265" s="271">
        <v>1000</v>
      </c>
      <c r="I265" s="271">
        <v>50</v>
      </c>
      <c r="J265" s="272">
        <v>40</v>
      </c>
    </row>
    <row r="266" spans="3:10" ht="15" hidden="1" customHeight="1" x14ac:dyDescent="0.25">
      <c r="C266" s="288"/>
      <c r="D266" s="315" t="s">
        <v>557</v>
      </c>
      <c r="E266" s="273"/>
      <c r="F266" s="264"/>
      <c r="G266" s="265"/>
      <c r="H266" s="266"/>
      <c r="I266" s="266"/>
      <c r="J266" s="262"/>
    </row>
    <row r="267" spans="3:10" ht="15" customHeight="1" x14ac:dyDescent="0.25">
      <c r="C267" s="274" t="s">
        <v>74</v>
      </c>
      <c r="D267" s="274" t="str">
        <f>ISO10456_T3[[#This Row],[Materiales o aplicación]]&amp;", ρ ="&amp;ISO10456_T3[[#This Row],[Densidad
ρ
kg/m³]]&amp;" kg/m³"</f>
        <v>Arcilla, ρ =2000 kg/m³</v>
      </c>
      <c r="E267" s="260" t="s">
        <v>78</v>
      </c>
      <c r="F267" s="276">
        <v>2000</v>
      </c>
      <c r="G267" s="277">
        <v>1</v>
      </c>
      <c r="H267" s="258">
        <v>800</v>
      </c>
      <c r="I267" s="258">
        <v>40</v>
      </c>
      <c r="J267" s="263">
        <v>30</v>
      </c>
    </row>
    <row r="268" spans="3:10" ht="15" customHeight="1" x14ac:dyDescent="0.25">
      <c r="C268" s="278" t="s">
        <v>74</v>
      </c>
      <c r="D268" s="278" t="str">
        <f>ISO10456_T3[[#This Row],[Materiales o aplicación]]&amp;", ρ ="&amp;ISO10456_T3[[#This Row],[Densidad
ρ
kg/m³]]&amp;" kg/m³"</f>
        <v>concreto, ρ =2100 kg/m³</v>
      </c>
      <c r="E268" s="261" t="s">
        <v>79</v>
      </c>
      <c r="F268" s="269">
        <v>2100</v>
      </c>
      <c r="G268" s="270">
        <v>1.5</v>
      </c>
      <c r="H268" s="271">
        <v>100</v>
      </c>
      <c r="I268" s="271">
        <v>100</v>
      </c>
      <c r="J268" s="272">
        <v>60</v>
      </c>
    </row>
    <row r="269" spans="3:10" ht="15" hidden="1" customHeight="1" x14ac:dyDescent="0.25">
      <c r="C269" s="288"/>
      <c r="D269" s="315" t="s">
        <v>558</v>
      </c>
      <c r="E269" s="273"/>
      <c r="F269" s="264"/>
      <c r="G269" s="265"/>
      <c r="H269" s="266"/>
      <c r="I269" s="266"/>
      <c r="J269" s="262"/>
    </row>
    <row r="270" spans="3:10" ht="15" customHeight="1" x14ac:dyDescent="0.25">
      <c r="C270" s="274" t="s">
        <v>416</v>
      </c>
      <c r="D270" s="274" t="str">
        <f>ISO10456_T3[[#This Row],[Materiales o aplicación]]&amp;", ρ ="&amp;ISO10456_T3[[#This Row],[Densidad
ρ
kg/m³]]&amp;" kg/m³"</f>
        <v>cerámica/porcelana, ρ =2300 kg/m³</v>
      </c>
      <c r="E270" s="260" t="s">
        <v>80</v>
      </c>
      <c r="F270" s="276">
        <v>2300</v>
      </c>
      <c r="G270" s="277">
        <v>1.3</v>
      </c>
      <c r="H270" s="258">
        <v>840</v>
      </c>
      <c r="I270" s="258" t="s">
        <v>60</v>
      </c>
      <c r="J270" s="263" t="s">
        <v>60</v>
      </c>
    </row>
    <row r="271" spans="3:10" ht="15" customHeight="1" x14ac:dyDescent="0.25">
      <c r="C271" s="278" t="s">
        <v>416</v>
      </c>
      <c r="D271" s="278" t="str">
        <f>ISO10456_T3[[#This Row],[Materiales o aplicación]]&amp;", ρ ="&amp;ISO10456_T3[[#This Row],[Densidad
ρ
kg/m³]]&amp;" kg/m³"</f>
        <v>Plástica, ρ =1000 kg/m³</v>
      </c>
      <c r="E271" s="261" t="s">
        <v>81</v>
      </c>
      <c r="F271" s="269">
        <v>1000</v>
      </c>
      <c r="G271" s="270">
        <v>0.2</v>
      </c>
      <c r="H271" s="271">
        <v>1000</v>
      </c>
      <c r="I271" s="271">
        <v>10000</v>
      </c>
      <c r="J271" s="272">
        <v>10000</v>
      </c>
    </row>
    <row r="272" spans="3:10" ht="15" hidden="1" customHeight="1" x14ac:dyDescent="0.25">
      <c r="C272" s="288"/>
      <c r="D272" s="315" t="s">
        <v>559</v>
      </c>
      <c r="E272" s="273"/>
      <c r="F272" s="264"/>
      <c r="G272" s="265"/>
      <c r="H272" s="266"/>
      <c r="I272" s="266"/>
      <c r="J272" s="262"/>
    </row>
    <row r="273" spans="3:10" ht="15" customHeight="1" x14ac:dyDescent="0.25">
      <c r="C273" s="274" t="s">
        <v>75</v>
      </c>
      <c r="D273" s="274" t="str">
        <f>ISO10456_T3[[#This Row],[Materiales o aplicación]]&amp;", ρ ="&amp;ISO10456_T3[[#This Row],[Densidad
ρ
kg/m³]]&amp;" kg/m³"</f>
        <v>Pino, ρ =450 kg/m³</v>
      </c>
      <c r="E273" s="260" t="s">
        <v>453</v>
      </c>
      <c r="F273" s="276">
        <v>450</v>
      </c>
      <c r="G273" s="277">
        <v>0.12</v>
      </c>
      <c r="H273" s="258">
        <v>1600</v>
      </c>
      <c r="I273" s="258">
        <v>50</v>
      </c>
      <c r="J273" s="263">
        <v>20</v>
      </c>
    </row>
    <row r="274" spans="3:10" ht="15" customHeight="1" x14ac:dyDescent="0.25">
      <c r="C274" s="274" t="s">
        <v>75</v>
      </c>
      <c r="D274" s="274" t="str">
        <f>ISO10456_T3[[#This Row],[Materiales o aplicación]]&amp;", ρ ="&amp;ISO10456_T3[[#This Row],[Densidad
ρ
kg/m³]]&amp;" kg/m³"</f>
        <v>Pino, ρ =500 kg/m³</v>
      </c>
      <c r="E274" s="260" t="s">
        <v>453</v>
      </c>
      <c r="F274" s="276">
        <v>500</v>
      </c>
      <c r="G274" s="277">
        <v>0.13</v>
      </c>
      <c r="H274" s="258">
        <v>1600</v>
      </c>
      <c r="I274" s="258">
        <v>50</v>
      </c>
      <c r="J274" s="263">
        <v>20</v>
      </c>
    </row>
    <row r="275" spans="3:10" ht="15" customHeight="1" x14ac:dyDescent="0.25">
      <c r="C275" s="278" t="s">
        <v>75</v>
      </c>
      <c r="D275" s="278" t="str">
        <f>ISO10456_T3[[#This Row],[Materiales o aplicación]]&amp;", ρ ="&amp;ISO10456_T3[[#This Row],[Densidad
ρ
kg/m³]]&amp;" kg/m³"</f>
        <v>Pino, ρ =700 kg/m³</v>
      </c>
      <c r="E275" s="261" t="s">
        <v>453</v>
      </c>
      <c r="F275" s="269">
        <v>700</v>
      </c>
      <c r="G275" s="270">
        <v>0.18</v>
      </c>
      <c r="H275" s="271">
        <v>1600</v>
      </c>
      <c r="I275" s="271">
        <v>200</v>
      </c>
      <c r="J275" s="272">
        <v>50</v>
      </c>
    </row>
    <row r="276" spans="3:10" ht="15" hidden="1" customHeight="1" x14ac:dyDescent="0.25">
      <c r="C276" s="289"/>
      <c r="D276" s="314" t="s">
        <v>560</v>
      </c>
      <c r="E276" s="275"/>
      <c r="F276" s="276"/>
      <c r="G276" s="277"/>
      <c r="H276" s="258"/>
      <c r="I276" s="258"/>
      <c r="J276" s="263"/>
    </row>
    <row r="277" spans="3:10" ht="15" customHeight="1" x14ac:dyDescent="0.25">
      <c r="C277" s="289" t="s">
        <v>451</v>
      </c>
      <c r="D277" s="289" t="str">
        <f>ISO10456_T3[[#This Row],[Materiales o aplicación]]&amp;", ρ ="&amp;ISO10456_T3[[#This Row],[Densidad
ρ
kg/m³]]&amp;" kg/m³"</f>
        <v>Contrachapada, ρ =300 kg/m³</v>
      </c>
      <c r="E277" s="275" t="s">
        <v>82</v>
      </c>
      <c r="F277" s="276">
        <v>300</v>
      </c>
      <c r="G277" s="277">
        <v>0.09</v>
      </c>
      <c r="H277" s="258">
        <v>1600</v>
      </c>
      <c r="I277" s="258">
        <v>150</v>
      </c>
      <c r="J277" s="263">
        <v>50</v>
      </c>
    </row>
    <row r="278" spans="3:10" ht="15" customHeight="1" x14ac:dyDescent="0.25">
      <c r="C278" s="289" t="s">
        <v>451</v>
      </c>
      <c r="D278" s="289" t="str">
        <f>ISO10456_T3[[#This Row],[Materiales o aplicación]]&amp;", ρ ="&amp;ISO10456_T3[[#This Row],[Densidad
ρ
kg/m³]]&amp;" kg/m³"</f>
        <v>Contrachapada, ρ =500 kg/m³</v>
      </c>
      <c r="E278" s="275" t="s">
        <v>82</v>
      </c>
      <c r="F278" s="276">
        <v>500</v>
      </c>
      <c r="G278" s="277">
        <v>0.13</v>
      </c>
      <c r="H278" s="258">
        <v>1600</v>
      </c>
      <c r="I278" s="258">
        <v>200</v>
      </c>
      <c r="J278" s="263">
        <v>70</v>
      </c>
    </row>
    <row r="279" spans="3:10" ht="15" customHeight="1" x14ac:dyDescent="0.25">
      <c r="C279" s="289" t="s">
        <v>451</v>
      </c>
      <c r="D279" s="289" t="str">
        <f>ISO10456_T3[[#This Row],[Materiales o aplicación]]&amp;", ρ ="&amp;ISO10456_T3[[#This Row],[Densidad
ρ
kg/m³]]&amp;" kg/m³"</f>
        <v>Contrachapada, ρ =700 kg/m³</v>
      </c>
      <c r="E279" s="275" t="s">
        <v>82</v>
      </c>
      <c r="F279" s="276">
        <v>700</v>
      </c>
      <c r="G279" s="277">
        <v>0.17</v>
      </c>
      <c r="H279" s="258">
        <v>1600</v>
      </c>
      <c r="I279" s="258">
        <v>220</v>
      </c>
      <c r="J279" s="263">
        <v>90</v>
      </c>
    </row>
    <row r="280" spans="3:10" ht="15" customHeight="1" x14ac:dyDescent="0.25">
      <c r="C280" s="289" t="s">
        <v>451</v>
      </c>
      <c r="D280" s="289" t="str">
        <f>ISO10456_T3[[#This Row],[Materiales o aplicación]]&amp;", ρ ="&amp;ISO10456_T3[[#This Row],[Densidad
ρ
kg/m³]]&amp;" kg/m³"</f>
        <v>Contrachapada, ρ =1000 kg/m³</v>
      </c>
      <c r="E280" s="275" t="s">
        <v>82</v>
      </c>
      <c r="F280" s="276">
        <v>1000</v>
      </c>
      <c r="G280" s="277">
        <v>0.24</v>
      </c>
      <c r="H280" s="258">
        <v>1600</v>
      </c>
      <c r="I280" s="258">
        <v>250</v>
      </c>
      <c r="J280" s="263">
        <v>110</v>
      </c>
    </row>
    <row r="281" spans="3:10" ht="15" customHeight="1" x14ac:dyDescent="0.25">
      <c r="C281" s="289" t="s">
        <v>451</v>
      </c>
      <c r="D281" s="289" t="str">
        <f>ISO10456_T3[[#This Row],[Materiales o aplicación]]&amp;", ρ ="&amp;ISO10456_T3[[#This Row],[Densidad
ρ
kg/m³]]&amp;" kg/m³"</f>
        <v>partículas aglomeradas con cemento, ρ =1200 kg/m³</v>
      </c>
      <c r="E281" s="260" t="s">
        <v>549</v>
      </c>
      <c r="F281" s="276">
        <v>1200</v>
      </c>
      <c r="G281" s="277">
        <v>0.23</v>
      </c>
      <c r="H281" s="258">
        <v>1500</v>
      </c>
      <c r="I281" s="258">
        <v>50</v>
      </c>
      <c r="J281" s="263">
        <v>30</v>
      </c>
    </row>
    <row r="282" spans="3:10" ht="15" customHeight="1" x14ac:dyDescent="0.25">
      <c r="C282" s="289" t="s">
        <v>451</v>
      </c>
      <c r="D282" s="289" t="str">
        <f>ISO10456_T3[[#This Row],[Materiales o aplicación]]&amp;", ρ ="&amp;ISO10456_T3[[#This Row],[Densidad
ρ
kg/m³]]&amp;" kg/m³"</f>
        <v>aglomerada, ρ =300 kg/m³</v>
      </c>
      <c r="E282" s="260" t="s">
        <v>83</v>
      </c>
      <c r="F282" s="276">
        <v>300</v>
      </c>
      <c r="G282" s="277">
        <v>0.1</v>
      </c>
      <c r="H282" s="258">
        <v>1700</v>
      </c>
      <c r="I282" s="258">
        <v>50</v>
      </c>
      <c r="J282" s="263">
        <v>10</v>
      </c>
    </row>
    <row r="283" spans="3:10" ht="15" customHeight="1" x14ac:dyDescent="0.25">
      <c r="C283" s="289" t="s">
        <v>451</v>
      </c>
      <c r="D283" s="289" t="str">
        <f>ISO10456_T3[[#This Row],[Materiales o aplicación]]&amp;", ρ ="&amp;ISO10456_T3[[#This Row],[Densidad
ρ
kg/m³]]&amp;" kg/m³"</f>
        <v>aglomerada, ρ =600 kg/m³</v>
      </c>
      <c r="E283" s="260" t="s">
        <v>83</v>
      </c>
      <c r="F283" s="276">
        <v>600</v>
      </c>
      <c r="G283" s="277">
        <v>0.14000000000000001</v>
      </c>
      <c r="H283" s="258">
        <v>1700</v>
      </c>
      <c r="I283" s="258">
        <v>50</v>
      </c>
      <c r="J283" s="263">
        <v>15</v>
      </c>
    </row>
    <row r="284" spans="3:10" ht="15" customHeight="1" x14ac:dyDescent="0.25">
      <c r="C284" s="289" t="s">
        <v>451</v>
      </c>
      <c r="D284" s="289" t="str">
        <f>ISO10456_T3[[#This Row],[Materiales o aplicación]]&amp;", ρ ="&amp;ISO10456_T3[[#This Row],[Densidad
ρ
kg/m³]]&amp;" kg/m³"</f>
        <v>aglomerada, ρ =900 kg/m³</v>
      </c>
      <c r="E284" s="260" t="s">
        <v>83</v>
      </c>
      <c r="F284" s="276">
        <v>900</v>
      </c>
      <c r="G284" s="277">
        <v>0.18</v>
      </c>
      <c r="H284" s="258">
        <v>1700</v>
      </c>
      <c r="I284" s="258">
        <v>50</v>
      </c>
      <c r="J284" s="263">
        <v>20</v>
      </c>
    </row>
    <row r="285" spans="3:10" ht="15" customHeight="1" x14ac:dyDescent="0.25">
      <c r="C285" s="289" t="s">
        <v>451</v>
      </c>
      <c r="D285" s="289" t="str">
        <f>ISO10456_T3[[#This Row],[Materiales o aplicación]]&amp;", ρ ="&amp;ISO10456_T3[[#This Row],[Densidad
ρ
kg/m³]]&amp;" kg/m³"</f>
        <v>OSB, ρ =650 kg/m³</v>
      </c>
      <c r="E285" s="260" t="s">
        <v>29</v>
      </c>
      <c r="F285" s="276">
        <v>650</v>
      </c>
      <c r="G285" s="277">
        <v>0.13</v>
      </c>
      <c r="H285" s="258">
        <v>1700</v>
      </c>
      <c r="I285" s="258">
        <v>50</v>
      </c>
      <c r="J285" s="263">
        <v>30</v>
      </c>
    </row>
    <row r="286" spans="3:10" ht="15" customHeight="1" x14ac:dyDescent="0.25">
      <c r="C286" s="289" t="s">
        <v>451</v>
      </c>
      <c r="D286" s="289" t="str">
        <f>ISO10456_T3[[#This Row],[Materiales o aplicación]]&amp;", ρ ="&amp;ISO10456_T3[[#This Row],[Densidad
ρ
kg/m³]]&amp;" kg/m³"</f>
        <v>fibras, incluyendo MDF, ρ =250 kg/m³</v>
      </c>
      <c r="E286" s="275" t="s">
        <v>452</v>
      </c>
      <c r="F286" s="276">
        <v>250</v>
      </c>
      <c r="G286" s="277">
        <v>7.0000000000000007E-2</v>
      </c>
      <c r="H286" s="258">
        <v>1700</v>
      </c>
      <c r="I286" s="258">
        <v>5</v>
      </c>
      <c r="J286" s="263">
        <v>3</v>
      </c>
    </row>
    <row r="287" spans="3:10" ht="15" customHeight="1" x14ac:dyDescent="0.25">
      <c r="C287" s="289" t="s">
        <v>451</v>
      </c>
      <c r="D287" s="289" t="str">
        <f>ISO10456_T3[[#This Row],[Materiales o aplicación]]&amp;", ρ ="&amp;ISO10456_T3[[#This Row],[Densidad
ρ
kg/m³]]&amp;" kg/m³"</f>
        <v>fibras, incluyendo MDF, ρ =400 kg/m³</v>
      </c>
      <c r="E287" s="275" t="s">
        <v>452</v>
      </c>
      <c r="F287" s="276">
        <v>400</v>
      </c>
      <c r="G287" s="277">
        <v>0.1</v>
      </c>
      <c r="H287" s="258">
        <v>1700</v>
      </c>
      <c r="I287" s="258">
        <v>10</v>
      </c>
      <c r="J287" s="263">
        <v>5</v>
      </c>
    </row>
    <row r="288" spans="3:10" ht="15" customHeight="1" x14ac:dyDescent="0.25">
      <c r="C288" s="289" t="s">
        <v>451</v>
      </c>
      <c r="D288" s="289" t="str">
        <f>ISO10456_T3[[#This Row],[Materiales o aplicación]]&amp;", ρ ="&amp;ISO10456_T3[[#This Row],[Densidad
ρ
kg/m³]]&amp;" kg/m³"</f>
        <v>fibras, incluyendo MDF, ρ =600 kg/m³</v>
      </c>
      <c r="E288" s="275" t="s">
        <v>452</v>
      </c>
      <c r="F288" s="276">
        <v>600</v>
      </c>
      <c r="G288" s="277">
        <v>0.14000000000000001</v>
      </c>
      <c r="H288" s="258">
        <v>1700</v>
      </c>
      <c r="I288" s="258">
        <v>20</v>
      </c>
      <c r="J288" s="263">
        <v>12</v>
      </c>
    </row>
    <row r="289" spans="3:10" ht="15" customHeight="1" x14ac:dyDescent="0.25">
      <c r="C289" s="289" t="s">
        <v>451</v>
      </c>
      <c r="D289" s="289" t="str">
        <f>ISO10456_T3[[#This Row],[Materiales o aplicación]]&amp;", ρ ="&amp;ISO10456_T3[[#This Row],[Densidad
ρ
kg/m³]]&amp;" kg/m³"</f>
        <v>fibras, incluyendo MDF, ρ =800 kg/m³</v>
      </c>
      <c r="E289" s="275" t="s">
        <v>452</v>
      </c>
      <c r="F289" s="276">
        <v>800</v>
      </c>
      <c r="G289" s="277">
        <v>0.18</v>
      </c>
      <c r="H289" s="258">
        <v>1700</v>
      </c>
      <c r="I289" s="258">
        <v>30</v>
      </c>
      <c r="J289" s="263">
        <v>20</v>
      </c>
    </row>
    <row r="290" spans="3:10" x14ac:dyDescent="0.25">
      <c r="E290" s="240"/>
      <c r="F290" s="240"/>
      <c r="G290" s="240"/>
      <c r="H290" s="240"/>
      <c r="I290" s="240"/>
    </row>
    <row r="291" spans="3:10" x14ac:dyDescent="0.25">
      <c r="D291" s="602" t="s">
        <v>30</v>
      </c>
      <c r="E291" s="604"/>
      <c r="F291" s="604"/>
      <c r="G291" s="604"/>
      <c r="H291" s="604"/>
      <c r="I291" s="603"/>
    </row>
    <row r="292" spans="3:10" x14ac:dyDescent="0.25">
      <c r="D292" s="600" t="s">
        <v>375</v>
      </c>
      <c r="E292" s="601"/>
      <c r="F292" s="601"/>
      <c r="G292" s="601"/>
      <c r="H292" s="601"/>
      <c r="I292" s="596"/>
    </row>
    <row r="293" spans="3:10" ht="75" x14ac:dyDescent="0.25">
      <c r="D293" s="228" t="s">
        <v>425</v>
      </c>
      <c r="E293" s="250" t="s">
        <v>355</v>
      </c>
      <c r="F293" s="238" t="s">
        <v>446</v>
      </c>
      <c r="G293" s="229" t="s">
        <v>409</v>
      </c>
      <c r="H293" s="229" t="s">
        <v>410</v>
      </c>
      <c r="I293" s="238" t="s">
        <v>426</v>
      </c>
    </row>
    <row r="294" spans="3:10" x14ac:dyDescent="0.25">
      <c r="D294" s="231" t="str">
        <f>ISO10456_T4[[#This Row],[Material]]&amp;", ρ ="&amp;ISO10456_T4[[#This Row],[Densidad
ρ
kg/m³]]&amp;" kg/m³"</f>
        <v>Poliestireno expandido, ρ =10-50 kg/m³</v>
      </c>
      <c r="E294" s="256" t="s">
        <v>356</v>
      </c>
      <c r="F294" s="257" t="s">
        <v>391</v>
      </c>
      <c r="G294" s="258">
        <v>60</v>
      </c>
      <c r="H294" s="258">
        <v>60</v>
      </c>
      <c r="I294" s="259">
        <v>1450</v>
      </c>
    </row>
    <row r="295" spans="3:10" x14ac:dyDescent="0.25">
      <c r="D295" s="231" t="str">
        <f>ISO10456_T4[[#This Row],[Material]]&amp;", ρ ="&amp;ISO10456_T4[[#This Row],[Densidad
ρ
kg/m³]]&amp;" kg/m³"</f>
        <v>espuma de poliestireno extruido, ρ =20-65 kg/m³</v>
      </c>
      <c r="E295" s="260" t="s">
        <v>357</v>
      </c>
      <c r="F295" s="257" t="s">
        <v>376</v>
      </c>
      <c r="G295" s="258">
        <v>150</v>
      </c>
      <c r="H295" s="258">
        <v>150</v>
      </c>
      <c r="I295" s="258">
        <v>1450</v>
      </c>
    </row>
    <row r="296" spans="3:10" x14ac:dyDescent="0.25">
      <c r="D296" s="231" t="str">
        <f>ISO10456_T4[[#This Row],[Material]]&amp;", ρ ="&amp;ISO10456_T4[[#This Row],[Densidad
ρ
kg/m³]]&amp;" kg/m³"</f>
        <v>espuma de poliuretano, rígida, ρ =28-55 kg/m³</v>
      </c>
      <c r="E296" s="260" t="s">
        <v>358</v>
      </c>
      <c r="F296" s="257" t="s">
        <v>377</v>
      </c>
      <c r="G296" s="258">
        <v>60</v>
      </c>
      <c r="H296" s="258">
        <v>60</v>
      </c>
      <c r="I296" s="258">
        <v>1400</v>
      </c>
    </row>
    <row r="297" spans="3:10" x14ac:dyDescent="0.25">
      <c r="D297" s="231" t="str">
        <f>ISO10456_T4[[#This Row],[Material]]&amp;", ρ ="&amp;ISO10456_T4[[#This Row],[Densidad
ρ
kg/m³]]&amp;" kg/m³"</f>
        <v>lana mineral, ρ =10-200 kg/m³</v>
      </c>
      <c r="E297" s="260" t="s">
        <v>359</v>
      </c>
      <c r="F297" s="257" t="s">
        <v>378</v>
      </c>
      <c r="G297" s="258">
        <v>1</v>
      </c>
      <c r="H297" s="258">
        <v>1</v>
      </c>
      <c r="I297" s="258">
        <v>1030</v>
      </c>
    </row>
    <row r="298" spans="3:10" x14ac:dyDescent="0.25">
      <c r="D298" s="231" t="str">
        <f>ISO10456_T4[[#This Row],[Material]]&amp;", ρ ="&amp;ISO10456_T4[[#This Row],[Densidad
ρ
kg/m³]]&amp;" kg/m³"</f>
        <v>espuma fenólica, ρ =20-50 kg/m³</v>
      </c>
      <c r="E298" s="260" t="s">
        <v>360</v>
      </c>
      <c r="F298" s="257" t="s">
        <v>379</v>
      </c>
      <c r="G298" s="258">
        <v>50</v>
      </c>
      <c r="H298" s="258">
        <v>50</v>
      </c>
      <c r="I298" s="258">
        <v>1400</v>
      </c>
    </row>
    <row r="299" spans="3:10" x14ac:dyDescent="0.25">
      <c r="D299" s="231" t="str">
        <f>ISO10456_T4[[#This Row],[Material]]&amp;", ρ ="&amp;ISO10456_T4[[#This Row],[Densidad
ρ
kg/m³]]&amp;" kg/m³"</f>
        <v>vidrio celular, ρ =100-150 kg/m³</v>
      </c>
      <c r="E299" s="260" t="s">
        <v>361</v>
      </c>
      <c r="F299" s="257" t="s">
        <v>380</v>
      </c>
      <c r="G299" s="258" t="s">
        <v>60</v>
      </c>
      <c r="H299" s="258" t="s">
        <v>60</v>
      </c>
      <c r="I299" s="258">
        <v>1000</v>
      </c>
    </row>
    <row r="300" spans="3:10" x14ac:dyDescent="0.25">
      <c r="D300" s="231" t="str">
        <f>ISO10456_T4[[#This Row],[Material]]&amp;", ρ ="&amp;ISO10456_T4[[#This Row],[Densidad
ρ
kg/m³]]&amp;" kg/m³"</f>
        <v>tablero de perlita, ρ =140-240 kg/m³</v>
      </c>
      <c r="E300" s="260" t="s">
        <v>362</v>
      </c>
      <c r="F300" s="257" t="s">
        <v>381</v>
      </c>
      <c r="G300" s="258">
        <v>5</v>
      </c>
      <c r="H300" s="258">
        <v>5</v>
      </c>
      <c r="I300" s="258">
        <v>900</v>
      </c>
    </row>
    <row r="301" spans="3:10" x14ac:dyDescent="0.25">
      <c r="D301" s="231" t="str">
        <f>ISO10456_T4[[#This Row],[Material]]&amp;", ρ ="&amp;ISO10456_T4[[#This Row],[Densidad
ρ
kg/m³]]&amp;" kg/m³"</f>
        <v>corcho expandido, ρ =90-140 kg/m³</v>
      </c>
      <c r="E301" s="260" t="s">
        <v>363</v>
      </c>
      <c r="F301" s="257" t="s">
        <v>382</v>
      </c>
      <c r="G301" s="258">
        <v>10</v>
      </c>
      <c r="H301" s="258">
        <v>5</v>
      </c>
      <c r="I301" s="258">
        <v>1560</v>
      </c>
    </row>
    <row r="302" spans="3:10" x14ac:dyDescent="0.25">
      <c r="D302" s="231" t="str">
        <f>ISO10456_T4[[#This Row],[Material]]&amp;", ρ ="&amp;ISO10456_T4[[#This Row],[Densidad
ρ
kg/m³]]&amp;" kg/m³"</f>
        <v>tablero de lana de madera, ρ =250-450 kg/m³</v>
      </c>
      <c r="E302" s="260" t="s">
        <v>364</v>
      </c>
      <c r="F302" s="257" t="s">
        <v>383</v>
      </c>
      <c r="G302" s="258">
        <v>5</v>
      </c>
      <c r="H302" s="258">
        <v>3</v>
      </c>
      <c r="I302" s="258">
        <v>1470</v>
      </c>
    </row>
    <row r="303" spans="3:10" x14ac:dyDescent="0.25">
      <c r="D303" s="231" t="str">
        <f>ISO10456_T4[[#This Row],[Material]]&amp;", ρ ="&amp;ISO10456_T4[[#This Row],[Densidad
ρ
kg/m³]]&amp;" kg/m³"</f>
        <v>tablero de fibra de madera, ρ =40-250 kg/m³</v>
      </c>
      <c r="E303" s="260" t="s">
        <v>365</v>
      </c>
      <c r="F303" s="257" t="s">
        <v>384</v>
      </c>
      <c r="G303" s="258">
        <v>5</v>
      </c>
      <c r="H303" s="258">
        <v>3</v>
      </c>
      <c r="I303" s="258">
        <v>2000</v>
      </c>
    </row>
    <row r="304" spans="3:10" x14ac:dyDescent="0.25">
      <c r="D304" s="231" t="str">
        <f>ISO10456_T4[[#This Row],[Material]]&amp;", ρ ="&amp;ISO10456_T4[[#This Row],[Densidad
ρ
kg/m³]]&amp;" kg/m³"</f>
        <v>espuma de urea-formaldehído, ρ =10-30 kg/m³</v>
      </c>
      <c r="E304" s="260" t="s">
        <v>366</v>
      </c>
      <c r="F304" s="257" t="s">
        <v>390</v>
      </c>
      <c r="G304" s="258">
        <v>2</v>
      </c>
      <c r="H304" s="258">
        <v>2</v>
      </c>
      <c r="I304" s="258">
        <v>1400</v>
      </c>
    </row>
    <row r="305" spans="4:10" x14ac:dyDescent="0.25">
      <c r="D305" s="231" t="str">
        <f>ISO10456_T4[[#This Row],[Material]]&amp;", ρ ="&amp;ISO10456_T4[[#This Row],[Densidad
ρ
kg/m³]]&amp;" kg/m³"</f>
        <v>espuma de poliuretano aplicada en spray, ρ =30-50 kg/m³</v>
      </c>
      <c r="E305" s="260" t="s">
        <v>367</v>
      </c>
      <c r="F305" s="257" t="s">
        <v>385</v>
      </c>
      <c r="G305" s="258">
        <v>60</v>
      </c>
      <c r="H305" s="258">
        <v>60</v>
      </c>
      <c r="I305" s="258">
        <v>1400</v>
      </c>
    </row>
    <row r="306" spans="4:10" x14ac:dyDescent="0.25">
      <c r="D306" s="231" t="str">
        <f>ISO10456_T4[[#This Row],[Material]]&amp;", ρ ="&amp;ISO10456_T4[[#This Row],[Densidad
ρ
kg/m³]]&amp;" kg/m³"</f>
        <v>relleno suelto de lana mineral, ρ =15-60 kg/m³</v>
      </c>
      <c r="E306" s="260" t="s">
        <v>368</v>
      </c>
      <c r="F306" s="257" t="s">
        <v>386</v>
      </c>
      <c r="G306" s="258">
        <v>1</v>
      </c>
      <c r="H306" s="258">
        <v>1</v>
      </c>
      <c r="I306" s="258">
        <v>1030</v>
      </c>
    </row>
    <row r="307" spans="4:10" x14ac:dyDescent="0.25">
      <c r="D307" s="231" t="str">
        <f>ISO10456_T4[[#This Row],[Material]]&amp;", ρ ="&amp;ISO10456_T4[[#This Row],[Densidad
ρ
kg/m³]]&amp;" kg/m³"</f>
        <v>relleno suelto de fibra de celulosa, ρ =20-60 kg/m³</v>
      </c>
      <c r="E307" s="260" t="s">
        <v>369</v>
      </c>
      <c r="F307" s="257" t="s">
        <v>387</v>
      </c>
      <c r="G307" s="258">
        <v>2</v>
      </c>
      <c r="H307" s="258">
        <v>2</v>
      </c>
      <c r="I307" s="258">
        <v>1600</v>
      </c>
    </row>
    <row r="308" spans="4:10" x14ac:dyDescent="0.25">
      <c r="D308" s="231" t="str">
        <f>ISO10456_T4[[#This Row],[Material]]&amp;", ρ ="&amp;ISO10456_T4[[#This Row],[Densidad
ρ
kg/m³]]&amp;" kg/m³"</f>
        <v>relleno suelto de perilta expandida, ρ =30-150 kg/m³</v>
      </c>
      <c r="E308" s="260" t="s">
        <v>370</v>
      </c>
      <c r="F308" s="257" t="s">
        <v>388</v>
      </c>
      <c r="G308" s="258">
        <v>2</v>
      </c>
      <c r="H308" s="258">
        <v>2</v>
      </c>
      <c r="I308" s="258">
        <v>900</v>
      </c>
    </row>
    <row r="309" spans="4:10" x14ac:dyDescent="0.25">
      <c r="D309" s="231" t="str">
        <f>ISO10456_T4[[#This Row],[Material]]&amp;", ρ ="&amp;ISO10456_T4[[#This Row],[Densidad
ρ
kg/m³]]&amp;" kg/m³"</f>
        <v>relleno suelto de vermiculita exfoliada, ρ =30-150 kg/m³</v>
      </c>
      <c r="E309" s="260" t="s">
        <v>371</v>
      </c>
      <c r="F309" s="257" t="s">
        <v>388</v>
      </c>
      <c r="G309" s="258">
        <v>3</v>
      </c>
      <c r="H309" s="258">
        <v>2</v>
      </c>
      <c r="I309" s="258">
        <v>1080</v>
      </c>
    </row>
    <row r="310" spans="4:10" x14ac:dyDescent="0.25">
      <c r="D310" s="231" t="str">
        <f>ISO10456_T4[[#This Row],[Material]]&amp;", ρ ="&amp;ISO10456_T4[[#This Row],[Densidad
ρ
kg/m³]]&amp;" kg/m³"</f>
        <v>relleno suelto de arcilla expandida, ρ =200-400 kg/m³</v>
      </c>
      <c r="E310" s="260" t="s">
        <v>372</v>
      </c>
      <c r="F310" s="257" t="s">
        <v>389</v>
      </c>
      <c r="G310" s="258">
        <v>2</v>
      </c>
      <c r="H310" s="258">
        <v>2</v>
      </c>
      <c r="I310" s="258">
        <v>1000</v>
      </c>
    </row>
    <row r="311" spans="4:10" x14ac:dyDescent="0.25">
      <c r="D311" s="231" t="str">
        <f>ISO10456_T4[[#This Row],[Material]]&amp;", ρ ="&amp;ISO10456_T4[[#This Row],[Densidad
ρ
kg/m³]]&amp;" kg/m³"</f>
        <v>relleno suelto de perlas de poliestireno expandido, ρ =10-30 kg/m³</v>
      </c>
      <c r="E311" s="260" t="s">
        <v>373</v>
      </c>
      <c r="F311" s="257" t="s">
        <v>390</v>
      </c>
      <c r="G311" s="258">
        <v>2</v>
      </c>
      <c r="H311" s="258">
        <v>2</v>
      </c>
      <c r="I311" s="258">
        <v>1400</v>
      </c>
      <c r="J311" s="240"/>
    </row>
    <row r="312" spans="4:10" x14ac:dyDescent="0.25">
      <c r="D312" s="231" t="str">
        <f>ISO10456_T4[[#This Row],[Material]]&amp;", ρ ="&amp;ISO10456_T4[[#This Row],[Densidad
ρ
kg/m³]]&amp;" kg/m³"</f>
        <v>barro cocido, ρ =1000-2400 kg/m³</v>
      </c>
      <c r="E312" s="261" t="s">
        <v>374</v>
      </c>
      <c r="F312" s="257" t="s">
        <v>392</v>
      </c>
      <c r="G312" s="258">
        <v>16</v>
      </c>
      <c r="H312" s="258">
        <v>10</v>
      </c>
      <c r="I312" s="258">
        <v>1000</v>
      </c>
    </row>
    <row r="313" spans="4:10" x14ac:dyDescent="0.25">
      <c r="F313" s="254"/>
    </row>
    <row r="314" spans="4:10" x14ac:dyDescent="0.25">
      <c r="E314" s="602" t="s">
        <v>30</v>
      </c>
      <c r="F314" s="603"/>
    </row>
    <row r="315" spans="4:10" x14ac:dyDescent="0.25">
      <c r="E315" s="595" t="s">
        <v>408</v>
      </c>
      <c r="F315" s="596"/>
    </row>
    <row r="316" spans="4:10" ht="63" x14ac:dyDescent="0.25">
      <c r="E316" s="241" t="s">
        <v>395</v>
      </c>
      <c r="F316" s="242" t="s">
        <v>407</v>
      </c>
    </row>
    <row r="317" spans="4:10" x14ac:dyDescent="0.25">
      <c r="E317" s="235" t="s">
        <v>394</v>
      </c>
      <c r="F317" s="262">
        <v>50</v>
      </c>
    </row>
    <row r="318" spans="4:10" x14ac:dyDescent="0.25">
      <c r="E318" s="243" t="s">
        <v>396</v>
      </c>
      <c r="F318" s="263">
        <v>100</v>
      </c>
    </row>
    <row r="319" spans="4:10" x14ac:dyDescent="0.25">
      <c r="E319" s="243" t="s">
        <v>397</v>
      </c>
      <c r="F319" s="263">
        <v>50</v>
      </c>
    </row>
    <row r="320" spans="4:10" x14ac:dyDescent="0.25">
      <c r="E320" s="243" t="s">
        <v>398</v>
      </c>
      <c r="F320" s="263">
        <v>30</v>
      </c>
    </row>
    <row r="321" spans="5:6" x14ac:dyDescent="0.25">
      <c r="E321" s="243" t="s">
        <v>399</v>
      </c>
      <c r="F321" s="263">
        <v>1500</v>
      </c>
    </row>
    <row r="322" spans="5:6" x14ac:dyDescent="0.25">
      <c r="E322" s="243" t="s">
        <v>400</v>
      </c>
      <c r="F322" s="263">
        <v>8</v>
      </c>
    </row>
    <row r="323" spans="5:6" x14ac:dyDescent="0.25">
      <c r="E323" s="243" t="s">
        <v>401</v>
      </c>
      <c r="F323" s="263">
        <v>2</v>
      </c>
    </row>
    <row r="324" spans="5:6" x14ac:dyDescent="0.25">
      <c r="E324" s="243" t="s">
        <v>402</v>
      </c>
      <c r="F324" s="263">
        <v>10</v>
      </c>
    </row>
    <row r="325" spans="5:6" x14ac:dyDescent="0.25">
      <c r="E325" s="243" t="s">
        <v>403</v>
      </c>
      <c r="F325" s="263">
        <v>0.2</v>
      </c>
    </row>
    <row r="326" spans="5:6" x14ac:dyDescent="0.25">
      <c r="E326" s="243" t="s">
        <v>404</v>
      </c>
      <c r="F326" s="263">
        <v>0.1</v>
      </c>
    </row>
    <row r="327" spans="5:6" x14ac:dyDescent="0.25">
      <c r="E327" s="243" t="s">
        <v>405</v>
      </c>
      <c r="F327" s="263">
        <v>3</v>
      </c>
    </row>
    <row r="328" spans="5:6" x14ac:dyDescent="0.25">
      <c r="E328" s="243" t="s">
        <v>406</v>
      </c>
      <c r="F328" s="263">
        <v>2</v>
      </c>
    </row>
    <row r="329" spans="5:6" x14ac:dyDescent="0.25"/>
    <row r="330" spans="5:6" x14ac:dyDescent="0.25"/>
    <row r="331" spans="5:6" x14ac:dyDescent="0.25"/>
    <row r="332" spans="5:6" x14ac:dyDescent="0.25"/>
    <row r="333" spans="5:6" x14ac:dyDescent="0.25"/>
  </sheetData>
  <sheetProtection algorithmName="SHA-512" hashValue="32UyPtivEt0NdE7LlFDkb5jiwijtCRpgdbxQ9bE7zD/ia/VZiZEIKxwpkU++OEl4PK7BpWEDuk7XNiSRwr8FqA==" saltValue="1SWBw7MUhFZYfE82mmA4DA==" spinCount="100000" sheet="1" objects="1" scenarios="1"/>
  <mergeCells count="15">
    <mergeCell ref="B2:I2"/>
    <mergeCell ref="B24:I24"/>
    <mergeCell ref="E112:I112"/>
    <mergeCell ref="E126:G126"/>
    <mergeCell ref="B25:K25"/>
    <mergeCell ref="E127:G127"/>
    <mergeCell ref="E27:I27"/>
    <mergeCell ref="E315:F315"/>
    <mergeCell ref="E45:I45"/>
    <mergeCell ref="D292:I292"/>
    <mergeCell ref="E314:F314"/>
    <mergeCell ref="D291:I291"/>
    <mergeCell ref="C137:J137"/>
    <mergeCell ref="C136:J136"/>
    <mergeCell ref="E114:G114"/>
  </mergeCells>
  <conditionalFormatting sqref="I4:I23">
    <cfRule type="containsErrors" dxfId="2225" priority="2">
      <formula>ISERROR(I4)</formula>
    </cfRule>
  </conditionalFormatting>
  <conditionalFormatting sqref="H4:H23">
    <cfRule type="expression" dxfId="2224" priority="1">
      <formula>AND($C4="NCh 853.Of2007",LEFT($E4,1)="C")</formula>
    </cfRule>
  </conditionalFormatting>
  <dataValidations count="8">
    <dataValidation type="list" allowBlank="1" showInputMessage="1" showErrorMessage="1" sqref="C4:C23" xr:uid="{00000000-0002-0000-0100-000000000000}">
      <formula1>lista_origen_materiales</formula1>
    </dataValidation>
    <dataValidation type="decimal" operator="greaterThan" allowBlank="1" showInputMessage="1" showErrorMessage="1" sqref="F29:G43" xr:uid="{00000000-0002-0000-0100-000001000000}">
      <formula1>0</formula1>
    </dataValidation>
    <dataValidation allowBlank="1" showErrorMessage="1" sqref="F4:F23 D4:D23" xr:uid="{00000000-0002-0000-0100-000002000000}"/>
    <dataValidation type="list" allowBlank="1" showErrorMessage="1" sqref="E4:E23" xr:uid="{00000000-0002-0000-0100-000003000000}">
      <formula1>INDIRECT($D4)</formula1>
    </dataValidation>
    <dataValidation operator="greaterThan" allowBlank="1" showInputMessage="1" showErrorMessage="1" sqref="I29:I43" xr:uid="{00000000-0002-0000-0100-000004000000}"/>
    <dataValidation type="list" allowBlank="1" showInputMessage="1" showErrorMessage="1" sqref="H29:H43" xr:uid="{00000000-0002-0000-0100-000005000000}">
      <formula1>lista_magnitudes_difusion_vp</formula1>
    </dataValidation>
    <dataValidation type="decimal" operator="greaterThanOrEqual" allowBlank="1" showInputMessage="1" showErrorMessage="1" sqref="G4:G23" xr:uid="{00000000-0002-0000-0100-000006000000}">
      <formula1>0</formula1>
    </dataValidation>
    <dataValidation type="decimal" operator="greaterThanOrEqual" allowBlank="1" showErrorMessage="1" sqref="G4:G23" xr:uid="{00000000-0002-0000-0100-000007000000}">
      <formula1>0</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36889" r:id="rId4" name="CommandButton1">
          <controlPr defaultSize="0" autoLine="0" r:id="rId5">
            <anchor moveWithCells="1">
              <from>
                <xdr:col>9</xdr:col>
                <xdr:colOff>28575</xdr:colOff>
                <xdr:row>1</xdr:row>
                <xdr:rowOff>57150</xdr:rowOff>
              </from>
              <to>
                <xdr:col>10</xdr:col>
                <xdr:colOff>114300</xdr:colOff>
                <xdr:row>2</xdr:row>
                <xdr:rowOff>361950</xdr:rowOff>
              </to>
            </anchor>
          </controlPr>
        </control>
      </mc:Choice>
      <mc:Fallback>
        <control shapeId="36889" r:id="rId4" name="CommandButton1"/>
      </mc:Fallback>
    </mc:AlternateContent>
  </controls>
  <tableParts count="8">
    <tablePart r:id="rId6"/>
    <tablePart r:id="rId7"/>
    <tablePart r:id="rId8"/>
    <tablePart r:id="rId9"/>
    <tablePart r:id="rId10"/>
    <tablePart r:id="rId11"/>
    <tablePart r:id="rId12"/>
    <tablePart r:id="rId1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pageSetUpPr fitToPage="1"/>
  </sheetPr>
  <dimension ref="A1:BE125"/>
  <sheetViews>
    <sheetView topLeftCell="A85" zoomScale="62" zoomScaleNormal="62" zoomScalePageLayoutView="90" workbookViewId="0">
      <selection activeCell="M103" sqref="M103"/>
    </sheetView>
  </sheetViews>
  <sheetFormatPr baseColWidth="10" defaultColWidth="0" defaultRowHeight="15" x14ac:dyDescent="0.25"/>
  <cols>
    <col min="1" max="1" width="4.5703125" style="1" customWidth="1"/>
    <col min="2" max="2" width="28.5703125" style="1" customWidth="1"/>
    <col min="3" max="5" width="11" style="1" customWidth="1"/>
    <col min="6" max="6" width="11.42578125" style="1" customWidth="1"/>
    <col min="7" max="8" width="4.5703125" style="1" customWidth="1"/>
    <col min="9" max="9" width="28.5703125" style="1" customWidth="1"/>
    <col min="10" max="12" width="11" style="1" customWidth="1"/>
    <col min="13" max="13" width="11.42578125" style="1" customWidth="1"/>
    <col min="14" max="14" width="4.5703125" style="1" customWidth="1"/>
    <col min="15" max="15" width="1.42578125" style="1" customWidth="1"/>
    <col min="16" max="56" width="11.28515625" style="1" hidden="1" customWidth="1"/>
    <col min="57" max="57" width="2.140625" style="1" customWidth="1"/>
    <col min="58" max="16384" width="11.42578125" style="1" hidden="1"/>
  </cols>
  <sheetData>
    <row r="1" spans="1:23" ht="15.75" thickBot="1" x14ac:dyDescent="0.3"/>
    <row r="2" spans="1:23" ht="19.5" thickBot="1" x14ac:dyDescent="0.3">
      <c r="A2" s="618" t="s">
        <v>204</v>
      </c>
      <c r="B2" s="619"/>
      <c r="C2" s="619"/>
      <c r="D2" s="619"/>
      <c r="E2" s="619"/>
      <c r="F2" s="619"/>
      <c r="G2" s="619"/>
      <c r="H2" s="619"/>
      <c r="I2" s="619"/>
      <c r="J2" s="619"/>
      <c r="K2" s="619"/>
      <c r="L2" s="619"/>
      <c r="M2" s="619"/>
      <c r="N2" s="620"/>
    </row>
    <row r="3" spans="1:23" ht="7.5" customHeight="1" x14ac:dyDescent="0.25">
      <c r="A3" s="177"/>
      <c r="B3" s="178"/>
      <c r="C3" s="178"/>
      <c r="D3" s="178"/>
      <c r="E3" s="178"/>
      <c r="F3" s="178"/>
      <c r="G3" s="178"/>
      <c r="H3" s="178"/>
      <c r="I3" s="178"/>
      <c r="J3" s="178"/>
      <c r="K3" s="178"/>
      <c r="L3" s="178"/>
      <c r="M3" s="178"/>
      <c r="N3" s="179"/>
    </row>
    <row r="4" spans="1:23" ht="17.25" x14ac:dyDescent="0.3">
      <c r="A4" s="180"/>
      <c r="B4" s="102" t="s">
        <v>206</v>
      </c>
      <c r="C4" s="635"/>
      <c r="D4" s="635"/>
      <c r="E4" s="635"/>
      <c r="F4" s="636" t="s">
        <v>205</v>
      </c>
      <c r="G4" s="636"/>
      <c r="H4" s="637"/>
      <c r="I4" s="637"/>
      <c r="J4" s="637"/>
      <c r="K4" s="104" t="s">
        <v>207</v>
      </c>
      <c r="L4" s="637"/>
      <c r="M4" s="637"/>
      <c r="N4" s="181"/>
      <c r="T4" s="100"/>
      <c r="U4" s="100"/>
    </row>
    <row r="5" spans="1:23" ht="17.25" customHeight="1" x14ac:dyDescent="0.3">
      <c r="A5" s="180"/>
      <c r="B5" s="102" t="s">
        <v>208</v>
      </c>
      <c r="C5" s="614"/>
      <c r="D5" s="614"/>
      <c r="E5" s="614"/>
      <c r="F5" s="21"/>
      <c r="G5" s="105" t="s">
        <v>209</v>
      </c>
      <c r="H5" s="21"/>
      <c r="I5" s="449"/>
      <c r="J5" s="104" t="s">
        <v>210</v>
      </c>
      <c r="K5" s="614"/>
      <c r="L5" s="614"/>
      <c r="M5" s="614"/>
      <c r="N5" s="181"/>
    </row>
    <row r="6" spans="1:23" ht="7.5" customHeight="1" thickBot="1" x14ac:dyDescent="0.3">
      <c r="A6" s="182"/>
      <c r="B6" s="183"/>
      <c r="C6" s="183"/>
      <c r="D6" s="183"/>
      <c r="E6" s="183"/>
      <c r="F6" s="183"/>
      <c r="G6" s="183"/>
      <c r="H6" s="183"/>
      <c r="I6" s="183"/>
      <c r="J6" s="183"/>
      <c r="K6" s="183"/>
      <c r="L6" s="183"/>
      <c r="M6" s="183"/>
      <c r="N6" s="184"/>
    </row>
    <row r="7" spans="1:23" ht="19.5" thickBot="1" x14ac:dyDescent="0.3">
      <c r="A7" s="618" t="s">
        <v>0</v>
      </c>
      <c r="B7" s="619"/>
      <c r="C7" s="619"/>
      <c r="D7" s="619"/>
      <c r="E7" s="619"/>
      <c r="F7" s="619"/>
      <c r="G7" s="619"/>
      <c r="H7" s="619"/>
      <c r="I7" s="619"/>
      <c r="J7" s="619"/>
      <c r="K7" s="619"/>
      <c r="L7" s="619"/>
      <c r="M7" s="619"/>
      <c r="N7" s="620"/>
    </row>
    <row r="8" spans="1:23" ht="18" thickBot="1" x14ac:dyDescent="0.35">
      <c r="A8" s="621" t="s">
        <v>256</v>
      </c>
      <c r="B8" s="622"/>
      <c r="C8" s="622"/>
      <c r="D8" s="622"/>
      <c r="E8" s="622"/>
      <c r="F8" s="622"/>
      <c r="G8" s="623"/>
      <c r="H8" s="621" t="s">
        <v>257</v>
      </c>
      <c r="I8" s="622"/>
      <c r="J8" s="622"/>
      <c r="K8" s="622"/>
      <c r="L8" s="622"/>
      <c r="M8" s="622"/>
      <c r="N8" s="623"/>
      <c r="Q8" s="12" t="s">
        <v>283</v>
      </c>
      <c r="T8" s="12" t="s">
        <v>284</v>
      </c>
    </row>
    <row r="9" spans="1:23" ht="7.5" customHeight="1" x14ac:dyDescent="0.25">
      <c r="A9" s="185"/>
      <c r="B9" s="186"/>
      <c r="C9" s="186"/>
      <c r="D9" s="186"/>
      <c r="E9" s="186"/>
      <c r="F9" s="186"/>
      <c r="G9" s="187"/>
      <c r="H9" s="185"/>
      <c r="I9" s="186"/>
      <c r="J9" s="186"/>
      <c r="K9" s="186"/>
      <c r="L9" s="186"/>
      <c r="M9" s="186"/>
      <c r="N9" s="187"/>
    </row>
    <row r="10" spans="1:23" ht="17.25" x14ac:dyDescent="0.25">
      <c r="A10" s="188"/>
      <c r="B10" s="189" t="s">
        <v>615</v>
      </c>
      <c r="C10" s="190"/>
      <c r="D10" s="190"/>
      <c r="E10" s="190"/>
      <c r="F10" s="190"/>
      <c r="G10" s="191"/>
      <c r="H10" s="188"/>
      <c r="I10" s="189" t="s">
        <v>615</v>
      </c>
      <c r="J10" s="192"/>
      <c r="K10" s="192"/>
      <c r="L10" s="192"/>
      <c r="M10" s="192"/>
      <c r="N10" s="191"/>
      <c r="Q10" s="12"/>
      <c r="T10" s="12" t="s">
        <v>157</v>
      </c>
      <c r="V10" s="661" t="b">
        <v>1</v>
      </c>
      <c r="W10" s="661"/>
    </row>
    <row r="11" spans="1:23" ht="18" customHeight="1" x14ac:dyDescent="0.3">
      <c r="A11" s="146"/>
      <c r="B11" s="624" t="s">
        <v>880</v>
      </c>
      <c r="C11" s="625"/>
      <c r="D11" s="625"/>
      <c r="E11" s="625"/>
      <c r="F11" s="626"/>
      <c r="G11" s="193"/>
      <c r="H11" s="194"/>
      <c r="I11" s="624" t="s">
        <v>881</v>
      </c>
      <c r="J11" s="625"/>
      <c r="K11" s="625"/>
      <c r="L11" s="625"/>
      <c r="M11" s="626"/>
      <c r="N11" s="153"/>
      <c r="Q11" s="12" t="s">
        <v>1</v>
      </c>
      <c r="R11" s="15" t="str">
        <f>C16</f>
        <v>Provincia de Coyhaique</v>
      </c>
      <c r="T11" s="12" t="s">
        <v>1</v>
      </c>
      <c r="V11" s="15" t="str">
        <f>IF(Casilla1,provincia_C1,Seccion1!$J$16)</f>
        <v>Provincia de Coyhaique</v>
      </c>
      <c r="W11" s="15"/>
    </row>
    <row r="12" spans="1:23" ht="18" customHeight="1" x14ac:dyDescent="0.3">
      <c r="A12" s="146"/>
      <c r="B12" s="627"/>
      <c r="C12" s="628"/>
      <c r="D12" s="628"/>
      <c r="E12" s="628"/>
      <c r="F12" s="629"/>
      <c r="G12" s="193"/>
      <c r="H12" s="194"/>
      <c r="I12" s="627"/>
      <c r="J12" s="628"/>
      <c r="K12" s="628"/>
      <c r="L12" s="628"/>
      <c r="M12" s="629"/>
      <c r="N12" s="153"/>
      <c r="Q12" s="12"/>
      <c r="R12" s="15"/>
      <c r="T12" s="12"/>
      <c r="V12" s="15"/>
      <c r="W12" s="15"/>
    </row>
    <row r="13" spans="1:23" ht="18" customHeight="1" x14ac:dyDescent="0.3">
      <c r="A13" s="146"/>
      <c r="B13" s="630"/>
      <c r="C13" s="631"/>
      <c r="D13" s="631"/>
      <c r="E13" s="631"/>
      <c r="F13" s="632"/>
      <c r="G13" s="193"/>
      <c r="H13" s="194"/>
      <c r="I13" s="630"/>
      <c r="J13" s="631"/>
      <c r="K13" s="631"/>
      <c r="L13" s="631"/>
      <c r="M13" s="632"/>
      <c r="N13" s="153"/>
      <c r="Q13" s="12" t="s">
        <v>26</v>
      </c>
      <c r="T13" s="12" t="s">
        <v>26</v>
      </c>
      <c r="V13" s="82"/>
      <c r="W13" s="15"/>
    </row>
    <row r="14" spans="1:23" ht="7.5" customHeight="1" x14ac:dyDescent="0.25">
      <c r="A14" s="146"/>
      <c r="B14" s="21"/>
      <c r="C14" s="21"/>
      <c r="D14" s="21"/>
      <c r="E14" s="21"/>
      <c r="F14" s="21"/>
      <c r="G14" s="153"/>
      <c r="H14" s="146"/>
      <c r="I14" s="21"/>
      <c r="J14" s="21"/>
      <c r="K14" s="21"/>
      <c r="L14" s="21"/>
      <c r="M14" s="21"/>
      <c r="N14" s="153"/>
    </row>
    <row r="15" spans="1:23" ht="17.25" x14ac:dyDescent="0.3">
      <c r="A15" s="146"/>
      <c r="B15" s="101"/>
      <c r="C15" s="101"/>
      <c r="D15" s="101"/>
      <c r="E15" s="101"/>
      <c r="F15" s="101"/>
      <c r="G15" s="153"/>
      <c r="H15" s="195"/>
      <c r="I15" s="662" t="s">
        <v>288</v>
      </c>
      <c r="J15" s="662"/>
      <c r="K15" s="662"/>
      <c r="L15" s="662"/>
      <c r="M15" s="662"/>
      <c r="N15" s="153"/>
      <c r="Q15" s="12" t="s">
        <v>113</v>
      </c>
      <c r="S15" s="391">
        <f>$C$19</f>
        <v>1</v>
      </c>
      <c r="T15" s="12" t="s">
        <v>113</v>
      </c>
      <c r="V15" s="391">
        <f>IF(Casilla1,φsicr_C1,Seccion1!$J$19)</f>
        <v>1</v>
      </c>
      <c r="W15" s="15"/>
    </row>
    <row r="16" spans="1:23" ht="17.25" x14ac:dyDescent="0.3">
      <c r="A16" s="146"/>
      <c r="B16" s="102" t="s">
        <v>247</v>
      </c>
      <c r="C16" s="617" t="s">
        <v>870</v>
      </c>
      <c r="D16" s="617"/>
      <c r="E16" s="617"/>
      <c r="F16" s="196"/>
      <c r="G16" s="153"/>
      <c r="H16" s="152"/>
      <c r="I16" s="102" t="s">
        <v>247</v>
      </c>
      <c r="J16" s="617"/>
      <c r="K16" s="617"/>
      <c r="L16" s="617"/>
      <c r="M16" s="196"/>
      <c r="N16" s="153"/>
      <c r="Q16" s="12" t="s">
        <v>227</v>
      </c>
      <c r="S16" s="137">
        <v>0.32000000000000012</v>
      </c>
      <c r="T16" s="12"/>
      <c r="V16" s="137">
        <v>0.91000000000000059</v>
      </c>
      <c r="W16" s="15"/>
    </row>
    <row r="17" spans="1:23" ht="17.25" x14ac:dyDescent="0.3">
      <c r="A17" s="146"/>
      <c r="B17" s="102" t="s">
        <v>225</v>
      </c>
      <c r="C17" s="634" t="str">
        <f>IFERROR(CÁLCULOS!ϴe_H1_C1&amp;"°C; "&amp;CÁLCULOS!φe_H1_C1*100&amp;"% de HR (temp. mín. mes de julio)","")</f>
        <v>-0,4°C; 95% de HR (temp. mín. mes de julio)</v>
      </c>
      <c r="D17" s="634"/>
      <c r="E17" s="634"/>
      <c r="F17" s="634"/>
      <c r="G17" s="153"/>
      <c r="H17" s="152"/>
      <c r="I17" s="102" t="s">
        <v>225</v>
      </c>
      <c r="J17" s="634" t="str">
        <f>IFERROR(CÁLCULOS!ϴe_H1_C2&amp;"°C; "&amp;CÁLCULOS!φe_H1_C2*100&amp;"% de HR (temp. mín. mes de julio)","")</f>
        <v>-0,4°C; 95% de HR (temp. mín. mes de julio)</v>
      </c>
      <c r="K17" s="634"/>
      <c r="L17" s="634"/>
      <c r="M17" s="634"/>
      <c r="N17" s="153"/>
      <c r="Q17" s="12" t="s">
        <v>255</v>
      </c>
      <c r="S17" s="136" t="str">
        <f>$C$20</f>
        <v>Horizontal</v>
      </c>
      <c r="T17" s="12" t="s">
        <v>255</v>
      </c>
      <c r="V17" s="1" t="str">
        <f>IF(Casilla1,direccion_flujo_C1,Seccion1!$J$20)</f>
        <v>Horizontal</v>
      </c>
      <c r="W17" s="16"/>
    </row>
    <row r="18" spans="1:23" ht="17.25" x14ac:dyDescent="0.3">
      <c r="A18" s="146"/>
      <c r="B18" s="102" t="s">
        <v>226</v>
      </c>
      <c r="C18" s="633" t="str">
        <f>Aux!$AK$3&amp;"°C; 60%, 75% y 80% de HR"</f>
        <v>19°C; 60%, 75% y 80% de HR</v>
      </c>
      <c r="D18" s="633"/>
      <c r="E18" s="633"/>
      <c r="F18" s="633"/>
      <c r="G18" s="153"/>
      <c r="H18" s="152"/>
      <c r="I18" s="102" t="s">
        <v>226</v>
      </c>
      <c r="J18" s="633" t="str">
        <f>Aux!$AK$3&amp;"°C; 60%, 75% y 80% de HR"</f>
        <v>19°C; 60%, 75% y 80% de HR</v>
      </c>
      <c r="K18" s="633"/>
      <c r="L18" s="633"/>
      <c r="M18" s="633"/>
      <c r="N18" s="153"/>
      <c r="Q18" s="12" t="s">
        <v>809</v>
      </c>
      <c r="S18" s="1">
        <f>MATCH($C$21,Aux!$AK$6:$AK$7,0)</f>
        <v>2</v>
      </c>
      <c r="T18" s="12" t="s">
        <v>809</v>
      </c>
      <c r="V18" s="1">
        <f>IF(Casilla1,$S$18,MATCH($J$21,Aux!$AK$6:$AK$7,0))</f>
        <v>2</v>
      </c>
    </row>
    <row r="19" spans="1:23" ht="17.25" x14ac:dyDescent="0.3">
      <c r="A19" s="146"/>
      <c r="B19" s="102" t="s">
        <v>228</v>
      </c>
      <c r="C19" s="474">
        <v>1</v>
      </c>
      <c r="D19" s="21"/>
      <c r="E19" s="197"/>
      <c r="F19" s="101"/>
      <c r="G19" s="153"/>
      <c r="H19" s="152"/>
      <c r="I19" s="102" t="s">
        <v>228</v>
      </c>
      <c r="J19" s="392">
        <v>1</v>
      </c>
      <c r="K19" s="21"/>
      <c r="L19" s="102"/>
      <c r="M19" s="101"/>
      <c r="N19" s="153"/>
    </row>
    <row r="20" spans="1:23" ht="17.25" x14ac:dyDescent="0.3">
      <c r="A20" s="146"/>
      <c r="B20" s="102" t="s">
        <v>255</v>
      </c>
      <c r="C20" s="665" t="s">
        <v>14</v>
      </c>
      <c r="D20" s="665"/>
      <c r="E20" s="197"/>
      <c r="F20" s="21"/>
      <c r="G20" s="153"/>
      <c r="H20" s="152"/>
      <c r="I20" s="102" t="s">
        <v>255</v>
      </c>
      <c r="J20" s="665" t="s">
        <v>14</v>
      </c>
      <c r="K20" s="665"/>
      <c r="L20" s="102"/>
      <c r="M20" s="101"/>
      <c r="N20" s="153"/>
    </row>
    <row r="21" spans="1:23" ht="17.25" x14ac:dyDescent="0.3">
      <c r="A21" s="146"/>
      <c r="B21" s="102" t="s">
        <v>809</v>
      </c>
      <c r="C21" s="536" t="s">
        <v>182</v>
      </c>
      <c r="D21" s="197"/>
      <c r="E21" s="197"/>
      <c r="F21" s="21"/>
      <c r="G21" s="153"/>
      <c r="H21" s="152"/>
      <c r="I21" s="102" t="s">
        <v>809</v>
      </c>
      <c r="J21" s="536" t="s">
        <v>183</v>
      </c>
      <c r="K21" s="102"/>
      <c r="L21" s="102"/>
      <c r="M21" s="101"/>
      <c r="N21" s="153"/>
    </row>
    <row r="22" spans="1:23" ht="7.5" customHeight="1" x14ac:dyDescent="0.25">
      <c r="A22" s="146"/>
      <c r="B22" s="21"/>
      <c r="C22" s="21"/>
      <c r="D22" s="21"/>
      <c r="E22" s="21"/>
      <c r="F22" s="21"/>
      <c r="G22" s="153"/>
      <c r="H22" s="180"/>
      <c r="I22" s="198"/>
      <c r="J22" s="199"/>
      <c r="K22" s="198"/>
      <c r="L22" s="190"/>
      <c r="M22" s="190"/>
      <c r="N22" s="153"/>
    </row>
    <row r="23" spans="1:23" ht="46.5" customHeight="1" x14ac:dyDescent="0.25">
      <c r="A23" s="200" t="s">
        <v>103</v>
      </c>
      <c r="B23" s="616"/>
      <c r="C23" s="616"/>
      <c r="D23" s="616"/>
      <c r="E23" s="616"/>
      <c r="F23" s="330" t="s">
        <v>538</v>
      </c>
      <c r="G23" s="153"/>
      <c r="H23" s="200" t="s">
        <v>103</v>
      </c>
      <c r="I23" s="616"/>
      <c r="J23" s="616"/>
      <c r="K23" s="616"/>
      <c r="L23" s="616"/>
      <c r="M23" s="330" t="s">
        <v>538</v>
      </c>
      <c r="N23" s="153"/>
      <c r="S23" s="327" t="s">
        <v>564</v>
      </c>
      <c r="T23" s="327" t="s">
        <v>565</v>
      </c>
    </row>
    <row r="24" spans="1:23" ht="15.75" customHeight="1" x14ac:dyDescent="0.25">
      <c r="A24" s="162">
        <v>1</v>
      </c>
      <c r="B24" s="615" t="s">
        <v>882</v>
      </c>
      <c r="C24" s="615"/>
      <c r="D24" s="615"/>
      <c r="E24" s="615"/>
      <c r="F24" s="337">
        <f t="array" ref="F24:F35">IF(CÁLCULOS!$B$7:$B$18="Interior",NA(),CÁLCULOS!R_H1_C1)</f>
        <v>2.7272727272727275E-2</v>
      </c>
      <c r="G24" s="153"/>
      <c r="H24" s="162">
        <v>1</v>
      </c>
      <c r="I24" s="615" t="s">
        <v>882</v>
      </c>
      <c r="J24" s="615"/>
      <c r="K24" s="615"/>
      <c r="L24" s="615"/>
      <c r="M24" s="340">
        <f t="array" ref="M24:M35">IF(CÁLCULOS!$BG$7:$BG$18="Interior",NA(),CÁLCULOS!R_H1_C2)</f>
        <v>2.7272727272727275E-2</v>
      </c>
      <c r="N24" s="153"/>
      <c r="R24" s="1">
        <v>1</v>
      </c>
      <c r="S24" s="1" t="str">
        <f t="array" ref="S24:S35">IF(ISBLANK(lista_Materiales_C1),"",IF(ISBLANK(VLOOKUP(lista_Materiales_C1,Materiales[],6,FALSE)),"",IFERROR(VLOOKUP(lista_Materiales_C1,Materiales[],6,FALSE),"")))</f>
        <v>Tingl. FC</v>
      </c>
      <c r="T24" s="1" t="str">
        <f t="array" ref="T24:T35">IF(ISBLANK(lista_Materiales_C2),"",IF(ISBLANK(VLOOKUP(lista_Materiales_C2,Materiales[],6,FALSE)),"",IFERROR(VLOOKUP(lista_Materiales_C2,Materiales[],6,FALSE),"")))</f>
        <v>Tingl. FC</v>
      </c>
    </row>
    <row r="25" spans="1:23" ht="15.75" x14ac:dyDescent="0.25">
      <c r="A25" s="162">
        <v>2</v>
      </c>
      <c r="B25" s="615" t="s">
        <v>885</v>
      </c>
      <c r="C25" s="615"/>
      <c r="D25" s="615"/>
      <c r="E25" s="615"/>
      <c r="F25" s="338">
        <v>9.2500000000000013E-2</v>
      </c>
      <c r="G25" s="153"/>
      <c r="H25" s="162">
        <v>2</v>
      </c>
      <c r="I25" s="615" t="s">
        <v>888</v>
      </c>
      <c r="J25" s="615"/>
      <c r="K25" s="615"/>
      <c r="L25" s="615"/>
      <c r="M25" s="341">
        <v>1.9473684210526314E-3</v>
      </c>
      <c r="N25" s="153"/>
      <c r="R25" s="1">
        <v>2</v>
      </c>
      <c r="S25" s="1" t="str">
        <v>OSB</v>
      </c>
      <c r="T25" s="1" t="str">
        <v>fieltro</v>
      </c>
    </row>
    <row r="26" spans="1:23" ht="15.75" x14ac:dyDescent="0.25">
      <c r="A26" s="162">
        <v>3</v>
      </c>
      <c r="B26" s="615" t="s">
        <v>886</v>
      </c>
      <c r="C26" s="615"/>
      <c r="D26" s="615"/>
      <c r="E26" s="615"/>
      <c r="F26" s="338">
        <v>0.105</v>
      </c>
      <c r="H26" s="162">
        <v>3</v>
      </c>
      <c r="I26" s="615" t="s">
        <v>886</v>
      </c>
      <c r="J26" s="615"/>
      <c r="K26" s="615"/>
      <c r="L26" s="615"/>
      <c r="M26" s="341">
        <v>0.105</v>
      </c>
      <c r="N26" s="153"/>
      <c r="R26" s="1">
        <v>3</v>
      </c>
      <c r="S26" s="1" t="str">
        <v>aire</v>
      </c>
      <c r="T26" s="1" t="str">
        <v>aire</v>
      </c>
    </row>
    <row r="27" spans="1:23" ht="15.75" x14ac:dyDescent="0.25">
      <c r="A27" s="162">
        <v>4</v>
      </c>
      <c r="B27" s="615" t="s">
        <v>884</v>
      </c>
      <c r="C27" s="615"/>
      <c r="D27" s="615"/>
      <c r="E27" s="615"/>
      <c r="F27" s="338">
        <v>2.7906976744186047</v>
      </c>
      <c r="G27" s="153"/>
      <c r="H27" s="162">
        <v>4</v>
      </c>
      <c r="I27" s="615" t="s">
        <v>889</v>
      </c>
      <c r="J27" s="615"/>
      <c r="K27" s="615"/>
      <c r="L27" s="615"/>
      <c r="M27" s="341">
        <v>2.9268292682926829</v>
      </c>
      <c r="N27" s="153"/>
      <c r="R27" s="1">
        <v>4</v>
      </c>
      <c r="S27" s="1" t="str">
        <v>pol</v>
      </c>
      <c r="T27" s="1" t="str">
        <v>LV12</v>
      </c>
    </row>
    <row r="28" spans="1:23" ht="15.75" x14ac:dyDescent="0.25">
      <c r="A28" s="162">
        <v>5</v>
      </c>
      <c r="B28" s="615" t="s">
        <v>887</v>
      </c>
      <c r="C28" s="615"/>
      <c r="D28" s="615"/>
      <c r="E28" s="615"/>
      <c r="F28" s="338">
        <v>4.1666666666666671E-2</v>
      </c>
      <c r="G28" s="153"/>
      <c r="H28" s="162">
        <v>5</v>
      </c>
      <c r="I28" s="615" t="s">
        <v>890</v>
      </c>
      <c r="J28" s="615"/>
      <c r="K28" s="615"/>
      <c r="L28" s="615"/>
      <c r="M28" s="341">
        <v>6.0606060606060606E-4</v>
      </c>
      <c r="N28" s="153"/>
      <c r="R28" s="1">
        <v>5</v>
      </c>
      <c r="S28" s="1" t="str">
        <v>YC</v>
      </c>
      <c r="T28" s="1" t="str">
        <v>Pol</v>
      </c>
    </row>
    <row r="29" spans="1:23" ht="15.75" x14ac:dyDescent="0.25">
      <c r="A29" s="162">
        <v>6</v>
      </c>
      <c r="B29" s="615"/>
      <c r="C29" s="615"/>
      <c r="D29" s="615"/>
      <c r="E29" s="615"/>
      <c r="F29" s="338" t="e">
        <v>#N/A</v>
      </c>
      <c r="G29" s="153"/>
      <c r="H29" s="162">
        <v>6</v>
      </c>
      <c r="I29" s="615" t="s">
        <v>887</v>
      </c>
      <c r="J29" s="615"/>
      <c r="K29" s="615"/>
      <c r="L29" s="615"/>
      <c r="M29" s="341">
        <v>4.1666666666666671E-2</v>
      </c>
      <c r="N29" s="153"/>
      <c r="R29" s="1">
        <v>6</v>
      </c>
      <c r="S29" s="1" t="str">
        <v/>
      </c>
      <c r="T29" s="1" t="str">
        <v>YC</v>
      </c>
    </row>
    <row r="30" spans="1:23" ht="15.75" x14ac:dyDescent="0.25">
      <c r="A30" s="162">
        <v>7</v>
      </c>
      <c r="B30" s="615"/>
      <c r="C30" s="615"/>
      <c r="D30" s="615"/>
      <c r="E30" s="615"/>
      <c r="F30" s="338" t="e">
        <v>#N/A</v>
      </c>
      <c r="G30" s="153"/>
      <c r="H30" s="162">
        <v>7</v>
      </c>
      <c r="I30" s="615"/>
      <c r="J30" s="615"/>
      <c r="K30" s="615"/>
      <c r="L30" s="615"/>
      <c r="M30" s="341" t="e">
        <v>#N/A</v>
      </c>
      <c r="N30" s="153"/>
      <c r="R30" s="1">
        <v>7</v>
      </c>
      <c r="S30" s="1" t="str">
        <v/>
      </c>
      <c r="T30" s="1" t="str">
        <v/>
      </c>
    </row>
    <row r="31" spans="1:23" ht="15.75" x14ac:dyDescent="0.25">
      <c r="A31" s="162">
        <v>8</v>
      </c>
      <c r="B31" s="615"/>
      <c r="C31" s="615"/>
      <c r="D31" s="615"/>
      <c r="E31" s="615"/>
      <c r="F31" s="338" t="e">
        <v>#N/A</v>
      </c>
      <c r="G31" s="153"/>
      <c r="H31" s="162">
        <v>8</v>
      </c>
      <c r="I31" s="615"/>
      <c r="J31" s="615"/>
      <c r="K31" s="615"/>
      <c r="L31" s="615"/>
      <c r="M31" s="341" t="e">
        <v>#N/A</v>
      </c>
      <c r="N31" s="153"/>
      <c r="R31" s="1">
        <v>8</v>
      </c>
      <c r="S31" s="1" t="str">
        <v/>
      </c>
      <c r="T31" s="1" t="str">
        <v/>
      </c>
    </row>
    <row r="32" spans="1:23" ht="15.75" x14ac:dyDescent="0.25">
      <c r="A32" s="162">
        <v>9</v>
      </c>
      <c r="B32" s="615"/>
      <c r="C32" s="615"/>
      <c r="D32" s="615"/>
      <c r="E32" s="615"/>
      <c r="F32" s="338" t="e">
        <v>#N/A</v>
      </c>
      <c r="G32" s="153"/>
      <c r="H32" s="162">
        <v>9</v>
      </c>
      <c r="I32" s="615"/>
      <c r="J32" s="615"/>
      <c r="K32" s="615"/>
      <c r="L32" s="615"/>
      <c r="M32" s="341" t="e">
        <v>#N/A</v>
      </c>
      <c r="N32" s="153"/>
      <c r="R32" s="1">
        <v>9</v>
      </c>
      <c r="S32" s="1" t="str">
        <v/>
      </c>
      <c r="T32" s="1" t="str">
        <v/>
      </c>
    </row>
    <row r="33" spans="1:51" ht="15.75" x14ac:dyDescent="0.25">
      <c r="A33" s="162">
        <v>10</v>
      </c>
      <c r="B33" s="615"/>
      <c r="C33" s="615"/>
      <c r="D33" s="615"/>
      <c r="E33" s="615"/>
      <c r="F33" s="338" t="e">
        <v>#N/A</v>
      </c>
      <c r="G33" s="153"/>
      <c r="H33" s="162">
        <v>10</v>
      </c>
      <c r="I33" s="615"/>
      <c r="J33" s="615"/>
      <c r="K33" s="615"/>
      <c r="L33" s="615"/>
      <c r="M33" s="341" t="e">
        <v>#N/A</v>
      </c>
      <c r="N33" s="153"/>
      <c r="R33" s="1">
        <v>10</v>
      </c>
      <c r="S33" s="1" t="str">
        <v/>
      </c>
      <c r="T33" s="1" t="str">
        <v/>
      </c>
    </row>
    <row r="34" spans="1:51" ht="15.75" x14ac:dyDescent="0.25">
      <c r="A34" s="162">
        <v>11</v>
      </c>
      <c r="B34" s="615"/>
      <c r="C34" s="615"/>
      <c r="D34" s="615"/>
      <c r="E34" s="615"/>
      <c r="F34" s="338" t="e">
        <v>#N/A</v>
      </c>
      <c r="G34" s="153"/>
      <c r="H34" s="162">
        <v>11</v>
      </c>
      <c r="I34" s="615"/>
      <c r="J34" s="615"/>
      <c r="K34" s="615"/>
      <c r="L34" s="615"/>
      <c r="M34" s="341" t="e">
        <v>#N/A</v>
      </c>
      <c r="N34" s="153"/>
      <c r="R34" s="1">
        <v>11</v>
      </c>
      <c r="S34" s="1" t="str">
        <v/>
      </c>
      <c r="T34" s="1" t="str">
        <v/>
      </c>
    </row>
    <row r="35" spans="1:51" ht="15.75" x14ac:dyDescent="0.25">
      <c r="A35" s="162">
        <v>12</v>
      </c>
      <c r="B35" s="615"/>
      <c r="C35" s="615"/>
      <c r="D35" s="615"/>
      <c r="E35" s="615"/>
      <c r="F35" s="339" t="e">
        <v>#N/A</v>
      </c>
      <c r="G35" s="153"/>
      <c r="H35" s="162">
        <v>12</v>
      </c>
      <c r="I35" s="615"/>
      <c r="J35" s="615"/>
      <c r="K35" s="615"/>
      <c r="L35" s="615"/>
      <c r="M35" s="342" t="e">
        <v>#N/A</v>
      </c>
      <c r="N35" s="153"/>
      <c r="R35" s="1">
        <v>12</v>
      </c>
      <c r="S35" s="1" t="str">
        <v/>
      </c>
      <c r="T35" s="1" t="str">
        <v/>
      </c>
    </row>
    <row r="36" spans="1:51" x14ac:dyDescent="0.25">
      <c r="A36" s="664" t="s">
        <v>104</v>
      </c>
      <c r="B36" s="21"/>
      <c r="C36" s="21"/>
      <c r="D36" s="21"/>
      <c r="E36" s="21"/>
      <c r="F36" s="663"/>
      <c r="G36" s="153"/>
      <c r="H36" s="664" t="s">
        <v>104</v>
      </c>
      <c r="I36" s="21"/>
      <c r="J36" s="21"/>
      <c r="K36" s="21"/>
      <c r="L36" s="21"/>
      <c r="M36" s="663"/>
      <c r="N36" s="153"/>
    </row>
    <row r="37" spans="1:51" ht="15.75" x14ac:dyDescent="0.25">
      <c r="A37" s="664"/>
      <c r="B37" s="198" t="s">
        <v>130</v>
      </c>
      <c r="C37" s="103">
        <f>IFERROR(CÁLCULOS!Espesor_total_AT1_C1*1000,"")</f>
        <v>152.10000000000002</v>
      </c>
      <c r="D37" s="201" t="s">
        <v>131</v>
      </c>
      <c r="E37" s="21"/>
      <c r="F37" s="663"/>
      <c r="G37" s="153"/>
      <c r="H37" s="664"/>
      <c r="I37" s="198" t="s">
        <v>130</v>
      </c>
      <c r="J37" s="103">
        <f>IFERROR(CÁLCULOS!Espesor_total_AT1_C2*1000,"")</f>
        <v>141.57</v>
      </c>
      <c r="K37" s="201" t="s">
        <v>131</v>
      </c>
      <c r="L37" s="21"/>
      <c r="M37" s="663"/>
      <c r="N37" s="153"/>
    </row>
    <row r="38" spans="1:51" ht="18.75" x14ac:dyDescent="0.35">
      <c r="A38" s="664"/>
      <c r="B38" s="198" t="s">
        <v>224</v>
      </c>
      <c r="C38" s="99">
        <f>CÁLCULOS!RT_H1_C1</f>
        <v>3.3471370683579984</v>
      </c>
      <c r="D38" s="201" t="s">
        <v>27</v>
      </c>
      <c r="E38" s="21"/>
      <c r="F38" s="663"/>
      <c r="G38" s="153"/>
      <c r="H38" s="664"/>
      <c r="I38" s="198" t="s">
        <v>224</v>
      </c>
      <c r="J38" s="99">
        <f>CÁLCULOS!RT_H1_C2</f>
        <v>3.3933220912591899</v>
      </c>
      <c r="K38" s="201" t="s">
        <v>27</v>
      </c>
      <c r="L38" s="21"/>
      <c r="M38" s="663"/>
      <c r="N38" s="153"/>
    </row>
    <row r="39" spans="1:51" ht="7.5" customHeight="1" thickBot="1" x14ac:dyDescent="0.3">
      <c r="A39" s="168"/>
      <c r="B39" s="169"/>
      <c r="C39" s="169"/>
      <c r="D39" s="169"/>
      <c r="E39" s="169"/>
      <c r="F39" s="169"/>
      <c r="G39" s="170"/>
      <c r="H39" s="168"/>
      <c r="I39" s="169"/>
      <c r="J39" s="169"/>
      <c r="K39" s="169"/>
      <c r="L39" s="169"/>
      <c r="M39" s="169"/>
      <c r="N39" s="170"/>
      <c r="AX39" s="48"/>
      <c r="AY39" s="48"/>
    </row>
    <row r="40" spans="1:51" ht="19.5" thickBot="1" x14ac:dyDescent="0.3">
      <c r="A40" s="618" t="s">
        <v>274</v>
      </c>
      <c r="B40" s="619"/>
      <c r="C40" s="619"/>
      <c r="D40" s="619"/>
      <c r="E40" s="619"/>
      <c r="F40" s="619"/>
      <c r="G40" s="619"/>
      <c r="H40" s="619"/>
      <c r="I40" s="619"/>
      <c r="J40" s="619"/>
      <c r="K40" s="619"/>
      <c r="L40" s="619"/>
      <c r="M40" s="619"/>
      <c r="N40" s="620"/>
    </row>
    <row r="41" spans="1:51" ht="18" thickBot="1" x14ac:dyDescent="0.35">
      <c r="A41" s="621" t="str">
        <f>A$8</f>
        <v>CASO BASE</v>
      </c>
      <c r="B41" s="622"/>
      <c r="C41" s="622"/>
      <c r="D41" s="622"/>
      <c r="E41" s="622"/>
      <c r="F41" s="622"/>
      <c r="G41" s="623"/>
      <c r="H41" s="621" t="str">
        <f>H$8</f>
        <v>CASO PROYECTADO</v>
      </c>
      <c r="I41" s="622"/>
      <c r="J41" s="622"/>
      <c r="K41" s="622"/>
      <c r="L41" s="622"/>
      <c r="M41" s="622"/>
      <c r="N41" s="623"/>
    </row>
    <row r="42" spans="1:51" ht="7.5" customHeight="1" x14ac:dyDescent="0.25">
      <c r="A42" s="202"/>
      <c r="B42" s="186"/>
      <c r="C42" s="186"/>
      <c r="D42" s="186"/>
      <c r="E42" s="186"/>
      <c r="F42" s="186"/>
      <c r="G42" s="187"/>
      <c r="H42" s="185"/>
      <c r="I42" s="186"/>
      <c r="J42" s="186"/>
      <c r="K42" s="186"/>
      <c r="L42" s="186"/>
      <c r="M42" s="186"/>
      <c r="N42" s="203"/>
    </row>
    <row r="43" spans="1:51" ht="17.25" x14ac:dyDescent="0.25">
      <c r="A43" s="146"/>
      <c r="B43" s="189" t="str">
        <f>B10</f>
        <v>Descripción de la sección de análisis de la solución constructiva:</v>
      </c>
      <c r="C43" s="190"/>
      <c r="D43" s="190"/>
      <c r="E43" s="190"/>
      <c r="F43" s="190"/>
      <c r="G43" s="191"/>
      <c r="H43" s="188"/>
      <c r="I43" s="189" t="str">
        <f>I10</f>
        <v>Descripción de la sección de análisis de la solución constructiva:</v>
      </c>
      <c r="J43" s="192"/>
      <c r="K43" s="192"/>
      <c r="L43" s="192"/>
      <c r="M43" s="192"/>
      <c r="N43" s="153"/>
    </row>
    <row r="44" spans="1:51" ht="17.25" x14ac:dyDescent="0.3">
      <c r="A44" s="146"/>
      <c r="B44" s="652" t="str">
        <f>B11</f>
        <v xml:space="preserve">Tabique perimetral de madera 2x5", aislación termica Pol. Exp. d:15 e:12cm, revestimiento int. Y. Cartón Ste:10mm y ext. tinglado F.C. e:6mm (sección Aislante)  </v>
      </c>
      <c r="C44" s="653"/>
      <c r="D44" s="653"/>
      <c r="E44" s="653"/>
      <c r="F44" s="654"/>
      <c r="G44" s="193"/>
      <c r="H44" s="194"/>
      <c r="I44" s="652" t="str">
        <f>I11</f>
        <v xml:space="preserve">Tabique perimetral de madera 2x5", aislación termica Lana de v. d:12 e:12cm, revestimiento int. Y. Cartón Ste:10mm y ext. tinglado F.C. e:6mm (sección Aislante), barrera de vapor polietileno y barrera de humedas fieltro asfáltico  </v>
      </c>
      <c r="J44" s="653"/>
      <c r="K44" s="653"/>
      <c r="L44" s="653"/>
      <c r="M44" s="654"/>
      <c r="N44" s="153"/>
    </row>
    <row r="45" spans="1:51" ht="17.25" x14ac:dyDescent="0.3">
      <c r="A45" s="146"/>
      <c r="B45" s="655"/>
      <c r="C45" s="656"/>
      <c r="D45" s="656"/>
      <c r="E45" s="656"/>
      <c r="F45" s="657"/>
      <c r="G45" s="193"/>
      <c r="H45" s="194"/>
      <c r="I45" s="655"/>
      <c r="J45" s="656"/>
      <c r="K45" s="656"/>
      <c r="L45" s="656"/>
      <c r="M45" s="657"/>
      <c r="N45" s="153"/>
    </row>
    <row r="46" spans="1:51" ht="17.25" x14ac:dyDescent="0.3">
      <c r="A46" s="146"/>
      <c r="B46" s="658"/>
      <c r="C46" s="659"/>
      <c r="D46" s="659"/>
      <c r="E46" s="659"/>
      <c r="F46" s="660"/>
      <c r="G46" s="193"/>
      <c r="H46" s="194"/>
      <c r="I46" s="658"/>
      <c r="J46" s="659"/>
      <c r="K46" s="659"/>
      <c r="L46" s="659"/>
      <c r="M46" s="660"/>
      <c r="N46" s="153"/>
    </row>
    <row r="47" spans="1:51" ht="7.5" customHeight="1" x14ac:dyDescent="0.25">
      <c r="A47" s="146"/>
      <c r="B47" s="21"/>
      <c r="C47" s="21"/>
      <c r="D47" s="21"/>
      <c r="E47" s="21"/>
      <c r="F47" s="21"/>
      <c r="G47" s="153"/>
      <c r="H47" s="146"/>
      <c r="I47" s="21"/>
      <c r="J47" s="21"/>
      <c r="K47" s="21"/>
      <c r="L47" s="21"/>
      <c r="M47" s="21"/>
      <c r="N47" s="153"/>
    </row>
    <row r="48" spans="1:51" ht="17.25" customHeight="1" x14ac:dyDescent="0.25">
      <c r="A48" s="146"/>
      <c r="B48" s="21"/>
      <c r="C48" s="21"/>
      <c r="D48" s="21"/>
      <c r="E48" s="21"/>
      <c r="F48" s="21"/>
      <c r="G48" s="153"/>
      <c r="H48" s="146"/>
      <c r="I48" s="21"/>
      <c r="J48" s="21"/>
      <c r="K48" s="21"/>
      <c r="L48" s="21"/>
      <c r="M48" s="21"/>
      <c r="N48" s="153"/>
    </row>
    <row r="49" spans="1:18" x14ac:dyDescent="0.25">
      <c r="A49" s="146"/>
      <c r="B49" s="21"/>
      <c r="C49" s="21"/>
      <c r="D49" s="21"/>
      <c r="E49" s="21"/>
      <c r="F49" s="21"/>
      <c r="G49" s="153"/>
      <c r="H49" s="146"/>
      <c r="I49" s="21"/>
      <c r="J49" s="21"/>
      <c r="K49" s="21"/>
      <c r="L49" s="21"/>
      <c r="M49" s="21"/>
      <c r="N49" s="153"/>
    </row>
    <row r="50" spans="1:18" x14ac:dyDescent="0.25">
      <c r="A50" s="146"/>
      <c r="B50" s="21"/>
      <c r="C50" s="21"/>
      <c r="D50" s="21"/>
      <c r="E50" s="21"/>
      <c r="F50" s="21"/>
      <c r="G50" s="153"/>
      <c r="H50" s="146"/>
      <c r="I50" s="21"/>
      <c r="J50" s="21"/>
      <c r="K50" s="21"/>
      <c r="L50" s="21"/>
      <c r="M50" s="21"/>
      <c r="N50" s="153"/>
    </row>
    <row r="51" spans="1:18" x14ac:dyDescent="0.25">
      <c r="A51" s="146"/>
      <c r="B51" s="21"/>
      <c r="C51" s="21"/>
      <c r="D51" s="21"/>
      <c r="E51" s="21"/>
      <c r="F51" s="21"/>
      <c r="G51" s="153"/>
      <c r="H51" s="146"/>
      <c r="I51" s="21"/>
      <c r="J51" s="21"/>
      <c r="K51" s="21"/>
      <c r="L51" s="21"/>
      <c r="M51" s="21"/>
      <c r="N51" s="153"/>
    </row>
    <row r="52" spans="1:18" x14ac:dyDescent="0.25">
      <c r="A52" s="146"/>
      <c r="B52" s="21"/>
      <c r="C52" s="21"/>
      <c r="D52" s="21"/>
      <c r="E52" s="21"/>
      <c r="F52" s="21"/>
      <c r="G52" s="153"/>
      <c r="H52" s="146"/>
      <c r="I52" s="21"/>
      <c r="J52" s="21"/>
      <c r="K52" s="21"/>
      <c r="L52" s="21"/>
      <c r="M52" s="21"/>
      <c r="N52" s="153"/>
    </row>
    <row r="53" spans="1:18" x14ac:dyDescent="0.25">
      <c r="A53" s="146"/>
      <c r="B53" s="21"/>
      <c r="C53" s="21"/>
      <c r="D53" s="21"/>
      <c r="E53" s="21"/>
      <c r="F53" s="21"/>
      <c r="G53" s="153"/>
      <c r="H53" s="146"/>
      <c r="I53" s="21"/>
      <c r="J53" s="21"/>
      <c r="K53" s="21"/>
      <c r="L53" s="21"/>
      <c r="M53" s="21"/>
      <c r="N53" s="153"/>
    </row>
    <row r="54" spans="1:18" x14ac:dyDescent="0.25">
      <c r="A54" s="146"/>
      <c r="B54" s="21"/>
      <c r="C54" s="21"/>
      <c r="D54" s="21"/>
      <c r="E54" s="21"/>
      <c r="F54" s="21"/>
      <c r="G54" s="153"/>
      <c r="H54" s="146"/>
      <c r="I54" s="21"/>
      <c r="J54" s="21"/>
      <c r="K54" s="21"/>
      <c r="L54" s="21"/>
      <c r="M54" s="21"/>
      <c r="N54" s="153"/>
    </row>
    <row r="55" spans="1:18" x14ac:dyDescent="0.25">
      <c r="A55" s="146"/>
      <c r="B55" s="21"/>
      <c r="C55" s="21"/>
      <c r="D55" s="21"/>
      <c r="E55" s="21"/>
      <c r="F55" s="21"/>
      <c r="G55" s="153"/>
      <c r="H55" s="146"/>
      <c r="I55" s="21"/>
      <c r="J55" s="21"/>
      <c r="K55" s="21"/>
      <c r="L55" s="21"/>
      <c r="M55" s="21"/>
      <c r="N55" s="153"/>
    </row>
    <row r="56" spans="1:18" x14ac:dyDescent="0.25">
      <c r="A56" s="146"/>
      <c r="B56" s="21"/>
      <c r="C56" s="21"/>
      <c r="D56" s="21"/>
      <c r="E56" s="21"/>
      <c r="F56" s="21"/>
      <c r="G56" s="153"/>
      <c r="H56" s="146"/>
      <c r="I56" s="21"/>
      <c r="J56" s="21"/>
      <c r="K56" s="21"/>
      <c r="L56" s="21"/>
      <c r="M56" s="21"/>
      <c r="N56" s="153"/>
    </row>
    <row r="57" spans="1:18" x14ac:dyDescent="0.25">
      <c r="A57" s="146"/>
      <c r="B57" s="21"/>
      <c r="C57" s="21"/>
      <c r="D57" s="21"/>
      <c r="E57" s="21"/>
      <c r="F57" s="21"/>
      <c r="G57" s="153"/>
      <c r="H57" s="146"/>
      <c r="I57" s="21"/>
      <c r="J57" s="21"/>
      <c r="K57" s="21"/>
      <c r="L57" s="21"/>
      <c r="M57" s="21"/>
      <c r="N57" s="153"/>
      <c r="Q57" s="14" t="s">
        <v>173</v>
      </c>
      <c r="R57" s="98" t="b">
        <v>1</v>
      </c>
    </row>
    <row r="58" spans="1:18" x14ac:dyDescent="0.25">
      <c r="A58" s="146"/>
      <c r="B58" s="21"/>
      <c r="C58" s="21"/>
      <c r="D58" s="21"/>
      <c r="E58" s="21"/>
      <c r="F58" s="21"/>
      <c r="G58" s="153"/>
      <c r="H58" s="146"/>
      <c r="I58" s="21"/>
      <c r="J58" s="21"/>
      <c r="K58" s="21"/>
      <c r="L58" s="21"/>
      <c r="M58" s="21"/>
      <c r="N58" s="153"/>
    </row>
    <row r="59" spans="1:18" x14ac:dyDescent="0.25">
      <c r="A59" s="146"/>
      <c r="B59" s="21"/>
      <c r="C59" s="21"/>
      <c r="D59" s="21"/>
      <c r="E59" s="21"/>
      <c r="F59" s="21"/>
      <c r="G59" s="153"/>
      <c r="H59" s="146"/>
      <c r="I59" s="21"/>
      <c r="J59" s="21"/>
      <c r="K59" s="21"/>
      <c r="L59" s="21"/>
      <c r="M59" s="21"/>
      <c r="N59" s="153"/>
    </row>
    <row r="60" spans="1:18" x14ac:dyDescent="0.25">
      <c r="A60" s="146"/>
      <c r="B60" s="21"/>
      <c r="C60" s="21"/>
      <c r="D60" s="21"/>
      <c r="E60" s="21"/>
      <c r="F60" s="21"/>
      <c r="G60" s="153"/>
      <c r="H60" s="146"/>
      <c r="I60" s="21"/>
      <c r="J60" s="21"/>
      <c r="K60" s="21"/>
      <c r="L60" s="21"/>
      <c r="M60" s="21"/>
      <c r="N60" s="153"/>
    </row>
    <row r="61" spans="1:18" x14ac:dyDescent="0.25">
      <c r="A61" s="146"/>
      <c r="B61" s="21"/>
      <c r="C61" s="21"/>
      <c r="D61" s="21"/>
      <c r="E61" s="21"/>
      <c r="F61" s="21"/>
      <c r="G61" s="153"/>
      <c r="H61" s="146"/>
      <c r="I61" s="21"/>
      <c r="J61" s="21"/>
      <c r="K61" s="21"/>
      <c r="L61" s="21"/>
      <c r="M61" s="21"/>
      <c r="N61" s="153"/>
    </row>
    <row r="62" spans="1:18" x14ac:dyDescent="0.25">
      <c r="A62" s="146"/>
      <c r="B62" s="674" t="s">
        <v>219</v>
      </c>
      <c r="C62" s="675"/>
      <c r="D62" s="675"/>
      <c r="E62" s="675"/>
      <c r="F62" s="676"/>
      <c r="G62" s="153"/>
      <c r="H62" s="146"/>
      <c r="I62" s="674" t="s">
        <v>219</v>
      </c>
      <c r="J62" s="675"/>
      <c r="K62" s="675"/>
      <c r="L62" s="675"/>
      <c r="M62" s="676"/>
      <c r="N62" s="153"/>
    </row>
    <row r="63" spans="1:18" x14ac:dyDescent="0.25">
      <c r="A63" s="146"/>
      <c r="B63" s="204" t="s">
        <v>230</v>
      </c>
      <c r="C63" s="224">
        <f>VLOOKUP(1,φi[],2,FALSE)</f>
        <v>0.65</v>
      </c>
      <c r="D63" s="224">
        <f>VLOOKUP(2,φi[],2,FALSE)</f>
        <v>0.75</v>
      </c>
      <c r="E63" s="224">
        <f>VLOOKUP(3,φi[],2,FALSE)</f>
        <v>0.8</v>
      </c>
      <c r="F63" s="138">
        <f>φi_C1</f>
        <v>0.32000000000000012</v>
      </c>
      <c r="G63" s="153"/>
      <c r="H63" s="146"/>
      <c r="I63" s="204" t="s">
        <v>230</v>
      </c>
      <c r="J63" s="224">
        <f>VLOOKUP(1,φi[],2,FALSE)</f>
        <v>0.65</v>
      </c>
      <c r="K63" s="224">
        <f>VLOOKUP(2,φi[],2,FALSE)</f>
        <v>0.75</v>
      </c>
      <c r="L63" s="224">
        <f>VLOOKUP(3,φi[],2,FALSE)</f>
        <v>0.8</v>
      </c>
      <c r="M63" s="138">
        <f>φi_C2</f>
        <v>0.91000000000000059</v>
      </c>
      <c r="N63" s="153"/>
    </row>
    <row r="64" spans="1:18" x14ac:dyDescent="0.25">
      <c r="A64" s="146"/>
      <c r="B64" s="207" t="s">
        <v>220</v>
      </c>
      <c r="C64" s="208"/>
      <c r="D64" s="208"/>
      <c r="E64" s="208"/>
      <c r="F64" s="209"/>
      <c r="G64" s="153"/>
      <c r="H64" s="146"/>
      <c r="I64" s="207" t="s">
        <v>220</v>
      </c>
      <c r="J64" s="208"/>
      <c r="K64" s="208"/>
      <c r="L64" s="208"/>
      <c r="M64" s="209"/>
      <c r="N64" s="153"/>
    </row>
    <row r="65" spans="1:14" ht="7.5" customHeight="1" x14ac:dyDescent="0.25">
      <c r="A65" s="146"/>
      <c r="B65" s="21"/>
      <c r="C65" s="21"/>
      <c r="D65" s="21"/>
      <c r="E65" s="21"/>
      <c r="F65" s="21"/>
      <c r="G65" s="153"/>
      <c r="H65" s="146"/>
      <c r="I65" s="21"/>
      <c r="J65" s="21"/>
      <c r="K65" s="21"/>
      <c r="L65" s="21"/>
      <c r="M65" s="21"/>
      <c r="N65" s="153"/>
    </row>
    <row r="66" spans="1:14" x14ac:dyDescent="0.25">
      <c r="A66" s="146"/>
      <c r="B66" s="21"/>
      <c r="C66" s="21"/>
      <c r="D66" s="21"/>
      <c r="E66" s="21"/>
      <c r="F66" s="21"/>
      <c r="G66" s="153"/>
      <c r="H66" s="146"/>
      <c r="I66" s="21"/>
      <c r="J66" s="21"/>
      <c r="K66" s="21"/>
      <c r="L66" s="21"/>
      <c r="M66" s="21"/>
      <c r="N66" s="153"/>
    </row>
    <row r="67" spans="1:14" x14ac:dyDescent="0.25">
      <c r="A67" s="146"/>
      <c r="B67" s="21"/>
      <c r="C67" s="21"/>
      <c r="D67" s="21"/>
      <c r="E67" s="21"/>
      <c r="F67" s="21"/>
      <c r="G67" s="153"/>
      <c r="H67" s="146"/>
      <c r="I67" s="21"/>
      <c r="J67" s="21"/>
      <c r="K67" s="21"/>
      <c r="L67" s="21"/>
      <c r="M67" s="21"/>
      <c r="N67" s="153"/>
    </row>
    <row r="68" spans="1:14" x14ac:dyDescent="0.25">
      <c r="A68" s="146"/>
      <c r="B68" s="21"/>
      <c r="C68" s="21"/>
      <c r="D68" s="21"/>
      <c r="E68" s="21"/>
      <c r="F68" s="21"/>
      <c r="G68" s="153"/>
      <c r="H68" s="146"/>
      <c r="I68" s="21"/>
      <c r="J68" s="21"/>
      <c r="K68" s="21"/>
      <c r="L68" s="21"/>
      <c r="M68" s="21"/>
      <c r="N68" s="153"/>
    </row>
    <row r="69" spans="1:14" x14ac:dyDescent="0.25">
      <c r="A69" s="146"/>
      <c r="B69" s="21"/>
      <c r="C69" s="21"/>
      <c r="D69" s="21"/>
      <c r="E69" s="21"/>
      <c r="F69" s="21"/>
      <c r="G69" s="153"/>
      <c r="H69" s="146"/>
      <c r="I69" s="21"/>
      <c r="J69" s="21"/>
      <c r="K69" s="21"/>
      <c r="L69" s="21"/>
      <c r="M69" s="21"/>
      <c r="N69" s="153"/>
    </row>
    <row r="70" spans="1:14" x14ac:dyDescent="0.25">
      <c r="A70" s="146"/>
      <c r="B70" s="21"/>
      <c r="C70" s="21"/>
      <c r="D70" s="21"/>
      <c r="E70" s="21"/>
      <c r="F70" s="21"/>
      <c r="G70" s="153"/>
      <c r="H70" s="146"/>
      <c r="I70" s="21"/>
      <c r="J70" s="21"/>
      <c r="K70" s="21"/>
      <c r="L70" s="21"/>
      <c r="M70" s="21"/>
      <c r="N70" s="153"/>
    </row>
    <row r="71" spans="1:14" x14ac:dyDescent="0.25">
      <c r="A71" s="146"/>
      <c r="B71" s="21"/>
      <c r="C71" s="21"/>
      <c r="D71" s="21"/>
      <c r="E71" s="21"/>
      <c r="F71" s="21"/>
      <c r="G71" s="153"/>
      <c r="H71" s="146"/>
      <c r="I71" s="21"/>
      <c r="J71" s="21"/>
      <c r="K71" s="21"/>
      <c r="L71" s="21"/>
      <c r="M71" s="21"/>
      <c r="N71" s="153"/>
    </row>
    <row r="72" spans="1:14" x14ac:dyDescent="0.25">
      <c r="A72" s="146"/>
      <c r="B72" s="21"/>
      <c r="C72" s="21"/>
      <c r="D72" s="21"/>
      <c r="E72" s="21"/>
      <c r="F72" s="21"/>
      <c r="G72" s="153"/>
      <c r="H72" s="146"/>
      <c r="I72" s="21"/>
      <c r="J72" s="21"/>
      <c r="K72" s="21"/>
      <c r="L72" s="21"/>
      <c r="M72" s="21"/>
      <c r="N72" s="153"/>
    </row>
    <row r="73" spans="1:14" x14ac:dyDescent="0.25">
      <c r="A73" s="146"/>
      <c r="B73" s="21"/>
      <c r="C73" s="21"/>
      <c r="D73" s="21"/>
      <c r="E73" s="21"/>
      <c r="F73" s="21"/>
      <c r="G73" s="153"/>
      <c r="H73" s="146"/>
      <c r="I73" s="21"/>
      <c r="J73" s="21"/>
      <c r="K73" s="21"/>
      <c r="L73" s="21"/>
      <c r="M73" s="21"/>
      <c r="N73" s="153"/>
    </row>
    <row r="74" spans="1:14" x14ac:dyDescent="0.25">
      <c r="A74" s="146"/>
      <c r="B74" s="21"/>
      <c r="C74" s="21"/>
      <c r="D74" s="21"/>
      <c r="E74" s="21"/>
      <c r="F74" s="21"/>
      <c r="G74" s="153"/>
      <c r="H74" s="146"/>
      <c r="I74" s="21"/>
      <c r="J74" s="21"/>
      <c r="K74" s="21"/>
      <c r="L74" s="21"/>
      <c r="M74" s="21"/>
      <c r="N74" s="153"/>
    </row>
    <row r="75" spans="1:14" x14ac:dyDescent="0.25">
      <c r="A75" s="146"/>
      <c r="B75" s="21"/>
      <c r="C75" s="21"/>
      <c r="D75" s="21"/>
      <c r="E75" s="21"/>
      <c r="F75" s="21"/>
      <c r="G75" s="153"/>
      <c r="H75" s="146"/>
      <c r="I75" s="21"/>
      <c r="J75" s="21"/>
      <c r="K75" s="21"/>
      <c r="L75" s="21"/>
      <c r="M75" s="21"/>
      <c r="N75" s="153"/>
    </row>
    <row r="76" spans="1:14" ht="15" customHeight="1" x14ac:dyDescent="0.25">
      <c r="A76" s="146"/>
      <c r="B76" s="21"/>
      <c r="C76" s="21"/>
      <c r="D76" s="21"/>
      <c r="E76" s="21"/>
      <c r="F76" s="21"/>
      <c r="G76" s="153"/>
      <c r="H76" s="146"/>
      <c r="I76" s="21"/>
      <c r="J76" s="21"/>
      <c r="K76" s="21"/>
      <c r="L76" s="21"/>
      <c r="M76" s="21"/>
      <c r="N76" s="153"/>
    </row>
    <row r="77" spans="1:14" ht="15" customHeight="1" x14ac:dyDescent="0.25">
      <c r="A77" s="146"/>
      <c r="B77" s="21"/>
      <c r="C77" s="21"/>
      <c r="D77" s="21"/>
      <c r="E77" s="21"/>
      <c r="F77" s="21"/>
      <c r="G77" s="153"/>
      <c r="H77" s="146"/>
      <c r="I77" s="21"/>
      <c r="J77" s="21"/>
      <c r="K77" s="21"/>
      <c r="L77" s="21"/>
      <c r="M77" s="21"/>
      <c r="N77" s="153"/>
    </row>
    <row r="78" spans="1:14" ht="15" customHeight="1" x14ac:dyDescent="0.25">
      <c r="A78" s="146"/>
      <c r="B78" s="21"/>
      <c r="C78" s="21"/>
      <c r="D78" s="21"/>
      <c r="E78" s="21"/>
      <c r="F78" s="21"/>
      <c r="G78" s="153"/>
      <c r="H78" s="146"/>
      <c r="I78" s="21"/>
      <c r="J78" s="21"/>
      <c r="K78" s="21"/>
      <c r="L78" s="21"/>
      <c r="M78" s="21"/>
      <c r="N78" s="153"/>
    </row>
    <row r="79" spans="1:14" ht="15" customHeight="1" x14ac:dyDescent="0.25">
      <c r="A79" s="146"/>
      <c r="B79" s="21"/>
      <c r="C79" s="21"/>
      <c r="D79" s="21"/>
      <c r="E79" s="21"/>
      <c r="F79" s="21"/>
      <c r="G79" s="153"/>
      <c r="H79" s="146"/>
      <c r="I79" s="21"/>
      <c r="J79" s="21"/>
      <c r="K79" s="21"/>
      <c r="L79" s="21"/>
      <c r="M79" s="21"/>
      <c r="N79" s="153"/>
    </row>
    <row r="80" spans="1:14" ht="15" customHeight="1" x14ac:dyDescent="0.25">
      <c r="A80" s="146"/>
      <c r="B80" s="674" t="s">
        <v>219</v>
      </c>
      <c r="C80" s="675"/>
      <c r="D80" s="675"/>
      <c r="E80" s="675"/>
      <c r="F80" s="676"/>
      <c r="G80" s="153"/>
      <c r="H80" s="146"/>
      <c r="I80" s="674" t="s">
        <v>219</v>
      </c>
      <c r="J80" s="675"/>
      <c r="K80" s="675"/>
      <c r="L80" s="675"/>
      <c r="M80" s="676"/>
      <c r="N80" s="153"/>
    </row>
    <row r="81" spans="1:14" ht="15" customHeight="1" x14ac:dyDescent="0.25">
      <c r="A81" s="146"/>
      <c r="B81" s="204" t="s">
        <v>285</v>
      </c>
      <c r="C81" s="224">
        <f>VLOOKUP(1,φi[],2,FALSE)</f>
        <v>0.65</v>
      </c>
      <c r="D81" s="224">
        <f>VLOOKUP(2,φi[],2,FALSE)</f>
        <v>0.75</v>
      </c>
      <c r="E81" s="224">
        <f>VLOOKUP(3,φi[],2,FALSE)</f>
        <v>0.8</v>
      </c>
      <c r="F81" s="138">
        <f>φi_C1</f>
        <v>0.32000000000000012</v>
      </c>
      <c r="G81" s="153"/>
      <c r="H81" s="146"/>
      <c r="I81" s="204" t="s">
        <v>285</v>
      </c>
      <c r="J81" s="224">
        <f>VLOOKUP(1,φi[],2,FALSE)</f>
        <v>0.65</v>
      </c>
      <c r="K81" s="224">
        <f>VLOOKUP(2,φi[],2,FALSE)</f>
        <v>0.75</v>
      </c>
      <c r="L81" s="224">
        <f>VLOOKUP(3,φi[],2,FALSE)</f>
        <v>0.8</v>
      </c>
      <c r="M81" s="138">
        <f>φi_C2</f>
        <v>0.91000000000000059</v>
      </c>
      <c r="N81" s="153"/>
    </row>
    <row r="82" spans="1:14" ht="15" customHeight="1" x14ac:dyDescent="0.25">
      <c r="A82" s="146"/>
      <c r="B82" s="207" t="s">
        <v>286</v>
      </c>
      <c r="C82" s="208"/>
      <c r="D82" s="208"/>
      <c r="E82" s="208"/>
      <c r="F82" s="209"/>
      <c r="G82" s="153"/>
      <c r="H82" s="146"/>
      <c r="I82" s="207" t="s">
        <v>286</v>
      </c>
      <c r="J82" s="208"/>
      <c r="K82" s="208"/>
      <c r="L82" s="208"/>
      <c r="M82" s="209"/>
      <c r="N82" s="153"/>
    </row>
    <row r="83" spans="1:14" ht="7.5" customHeight="1" thickBot="1" x14ac:dyDescent="0.3">
      <c r="A83" s="168"/>
      <c r="B83" s="169"/>
      <c r="C83" s="169"/>
      <c r="D83" s="169"/>
      <c r="E83" s="169"/>
      <c r="F83" s="169"/>
      <c r="G83" s="170"/>
      <c r="H83" s="168"/>
      <c r="I83" s="169"/>
      <c r="J83" s="169"/>
      <c r="K83" s="169"/>
      <c r="L83" s="169"/>
      <c r="M83" s="169"/>
      <c r="N83" s="170"/>
    </row>
    <row r="84" spans="1:14" ht="19.5" thickBot="1" x14ac:dyDescent="0.3">
      <c r="A84" s="618" t="s">
        <v>274</v>
      </c>
      <c r="B84" s="619"/>
      <c r="C84" s="619"/>
      <c r="D84" s="619"/>
      <c r="E84" s="619"/>
      <c r="F84" s="619"/>
      <c r="G84" s="619"/>
      <c r="H84" s="619"/>
      <c r="I84" s="619"/>
      <c r="J84" s="619"/>
      <c r="K84" s="619"/>
      <c r="L84" s="619"/>
      <c r="M84" s="619"/>
      <c r="N84" s="620"/>
    </row>
    <row r="85" spans="1:14" ht="18" thickBot="1" x14ac:dyDescent="0.35">
      <c r="A85" s="621" t="str">
        <f>A$8</f>
        <v>CASO BASE</v>
      </c>
      <c r="B85" s="622"/>
      <c r="C85" s="622"/>
      <c r="D85" s="622"/>
      <c r="E85" s="622"/>
      <c r="F85" s="622"/>
      <c r="G85" s="623"/>
      <c r="H85" s="621" t="str">
        <f>H$8</f>
        <v>CASO PROYECTADO</v>
      </c>
      <c r="I85" s="622"/>
      <c r="J85" s="622"/>
      <c r="K85" s="622"/>
      <c r="L85" s="622"/>
      <c r="M85" s="622"/>
      <c r="N85" s="623"/>
    </row>
    <row r="86" spans="1:14" ht="7.5" customHeight="1" x14ac:dyDescent="0.25">
      <c r="A86" s="202"/>
      <c r="B86" s="186"/>
      <c r="C86" s="186"/>
      <c r="D86" s="186"/>
      <c r="E86" s="186"/>
      <c r="F86" s="186"/>
      <c r="G86" s="187"/>
      <c r="H86" s="185"/>
      <c r="I86" s="186"/>
      <c r="J86" s="186"/>
      <c r="K86" s="186"/>
      <c r="L86" s="186"/>
      <c r="M86" s="186"/>
      <c r="N86" s="203"/>
    </row>
    <row r="87" spans="1:14" ht="17.25" x14ac:dyDescent="0.25">
      <c r="A87" s="146"/>
      <c r="B87" s="189" t="str">
        <f>B10</f>
        <v>Descripción de la sección de análisis de la solución constructiva:</v>
      </c>
      <c r="C87" s="190"/>
      <c r="D87" s="190"/>
      <c r="E87" s="190"/>
      <c r="F87" s="190"/>
      <c r="G87" s="191"/>
      <c r="H87" s="188"/>
      <c r="I87" s="189" t="str">
        <f>I10</f>
        <v>Descripción de la sección de análisis de la solución constructiva:</v>
      </c>
      <c r="J87" s="192"/>
      <c r="K87" s="192"/>
      <c r="L87" s="192"/>
      <c r="M87" s="192"/>
      <c r="N87" s="153"/>
    </row>
    <row r="88" spans="1:14" ht="17.25" x14ac:dyDescent="0.3">
      <c r="A88" s="146"/>
      <c r="B88" s="666" t="str">
        <f>B11</f>
        <v xml:space="preserve">Tabique perimetral de madera 2x5", aislación termica Pol. Exp. d:15 e:12cm, revestimiento int. Y. Cartón Ste:10mm y ext. tinglado F.C. e:6mm (sección Aislante)  </v>
      </c>
      <c r="C88" s="667"/>
      <c r="D88" s="667"/>
      <c r="E88" s="667"/>
      <c r="F88" s="668"/>
      <c r="G88" s="219"/>
      <c r="H88" s="218"/>
      <c r="I88" s="666" t="str">
        <f>I11</f>
        <v xml:space="preserve">Tabique perimetral de madera 2x5", aislación termica Lana de v. d:12 e:12cm, revestimiento int. Y. Cartón Ste:10mm y ext. tinglado F.C. e:6mm (sección Aislante), barrera de vapor polietileno y barrera de humedas fieltro asfáltico  </v>
      </c>
      <c r="J88" s="667"/>
      <c r="K88" s="667"/>
      <c r="L88" s="667"/>
      <c r="M88" s="668"/>
      <c r="N88" s="153"/>
    </row>
    <row r="89" spans="1:14" ht="17.25" x14ac:dyDescent="0.3">
      <c r="A89" s="146"/>
      <c r="B89" s="669"/>
      <c r="C89" s="640"/>
      <c r="D89" s="640"/>
      <c r="E89" s="640"/>
      <c r="F89" s="670"/>
      <c r="G89" s="219"/>
      <c r="H89" s="218"/>
      <c r="I89" s="669"/>
      <c r="J89" s="640"/>
      <c r="K89" s="640"/>
      <c r="L89" s="640"/>
      <c r="M89" s="670"/>
      <c r="N89" s="153"/>
    </row>
    <row r="90" spans="1:14" ht="17.25" x14ac:dyDescent="0.3">
      <c r="A90" s="146"/>
      <c r="B90" s="671"/>
      <c r="C90" s="672"/>
      <c r="D90" s="672"/>
      <c r="E90" s="672"/>
      <c r="F90" s="673"/>
      <c r="G90" s="193"/>
      <c r="H90" s="194"/>
      <c r="I90" s="671"/>
      <c r="J90" s="672"/>
      <c r="K90" s="672"/>
      <c r="L90" s="672"/>
      <c r="M90" s="673"/>
      <c r="N90" s="153"/>
    </row>
    <row r="91" spans="1:14" ht="7.5" customHeight="1" thickBot="1" x14ac:dyDescent="0.3">
      <c r="A91" s="146"/>
      <c r="B91" s="21"/>
      <c r="C91" s="21"/>
      <c r="D91" s="21"/>
      <c r="E91" s="21"/>
      <c r="F91" s="21"/>
      <c r="G91" s="153"/>
      <c r="H91" s="146"/>
      <c r="I91" s="21"/>
      <c r="J91" s="21"/>
      <c r="K91" s="21"/>
      <c r="L91" s="21"/>
      <c r="M91" s="21"/>
      <c r="N91" s="153"/>
    </row>
    <row r="92" spans="1:14" ht="14.25" customHeight="1" thickBot="1" x14ac:dyDescent="0.3">
      <c r="A92" s="146"/>
      <c r="B92" s="21"/>
      <c r="C92" s="611" t="s">
        <v>596</v>
      </c>
      <c r="D92" s="612"/>
      <c r="E92" s="613"/>
      <c r="F92" s="390" t="s">
        <v>597</v>
      </c>
      <c r="G92" s="153"/>
      <c r="H92" s="146"/>
      <c r="I92" s="21"/>
      <c r="J92" s="611" t="s">
        <v>596</v>
      </c>
      <c r="K92" s="612"/>
      <c r="L92" s="613"/>
      <c r="M92" s="390" t="s">
        <v>597</v>
      </c>
      <c r="N92" s="153"/>
    </row>
    <row r="93" spans="1:14" ht="18" thickBot="1" x14ac:dyDescent="0.35">
      <c r="A93" s="146"/>
      <c r="B93" s="147" t="s">
        <v>181</v>
      </c>
      <c r="C93" s="148">
        <f>VLOOKUP(1,φi[],2,FALSE)</f>
        <v>0.65</v>
      </c>
      <c r="D93" s="149">
        <f>VLOOKUP(2,φi[],2,FALSE)</f>
        <v>0.75</v>
      </c>
      <c r="E93" s="150">
        <f>VLOOKUP(3,φi[],2,FALSE)</f>
        <v>0.8</v>
      </c>
      <c r="F93" s="332">
        <f>φi_C1</f>
        <v>0.32000000000000012</v>
      </c>
      <c r="G93" s="151"/>
      <c r="H93" s="152"/>
      <c r="I93" s="147" t="s">
        <v>181</v>
      </c>
      <c r="J93" s="148">
        <f>VLOOKUP(1,φi[],2,FALSE)</f>
        <v>0.65</v>
      </c>
      <c r="K93" s="149">
        <f>VLOOKUP(2,φi[],2,FALSE)</f>
        <v>0.75</v>
      </c>
      <c r="L93" s="150">
        <f>VLOOKUP(3,φi[],2,FALSE)</f>
        <v>0.8</v>
      </c>
      <c r="M93" s="332">
        <f>φi_C2</f>
        <v>0.91000000000000059</v>
      </c>
      <c r="N93" s="153"/>
    </row>
    <row r="94" spans="1:14" ht="7.5" customHeight="1" thickBot="1" x14ac:dyDescent="0.35">
      <c r="A94" s="146"/>
      <c r="B94" s="387"/>
      <c r="C94" s="388"/>
      <c r="D94" s="388"/>
      <c r="E94" s="388"/>
      <c r="F94" s="389"/>
      <c r="G94" s="151"/>
      <c r="H94" s="152"/>
      <c r="I94" s="387"/>
      <c r="J94" s="388"/>
      <c r="K94" s="388"/>
      <c r="L94" s="388"/>
      <c r="M94" s="389"/>
      <c r="N94" s="153"/>
    </row>
    <row r="95" spans="1:14" ht="17.25" x14ac:dyDescent="0.3">
      <c r="A95" s="146"/>
      <c r="B95" s="397" t="s">
        <v>276</v>
      </c>
      <c r="C95" s="374" t="str">
        <f>IFERROR(IF(CÁLCULOS!$O$26,"Sí","No"),"")</f>
        <v>No</v>
      </c>
      <c r="D95" s="375" t="str">
        <f>IFERROR(IF(CÁLCULOS!$Z$26,"Sí","No"),"")</f>
        <v>No</v>
      </c>
      <c r="E95" s="376" t="str">
        <f>IFERROR(IF(CÁLCULOS!$AK$26,"Sí","No"),"")</f>
        <v>No</v>
      </c>
      <c r="F95" s="377" t="str">
        <f>IF(CÁLCULOS!$AV$26,"Sí","No")</f>
        <v>No</v>
      </c>
      <c r="G95" s="151"/>
      <c r="H95" s="146"/>
      <c r="I95" s="397" t="s">
        <v>276</v>
      </c>
      <c r="J95" s="374" t="str">
        <f>IFERROR(IF(CÁLCULOS!$BT$26,"Sí","No"),"")</f>
        <v>No</v>
      </c>
      <c r="K95" s="375" t="str">
        <f>IFERROR(IF(CÁLCULOS!$CE$26,"Sí","No"),"")</f>
        <v>No</v>
      </c>
      <c r="L95" s="376" t="str">
        <f>IFERROR(IF(CÁLCULOS!$CP$26,"Sí","No"),"")</f>
        <v>No</v>
      </c>
      <c r="M95" s="377" t="str">
        <f>IF(CÁLCULOS!$DA$26,"Sí","No")</f>
        <v>No</v>
      </c>
      <c r="N95" s="153"/>
    </row>
    <row r="96" spans="1:14" ht="17.25" x14ac:dyDescent="0.3">
      <c r="A96" s="146"/>
      <c r="B96" s="155" t="s">
        <v>594</v>
      </c>
      <c r="C96" s="156">
        <f>IF(CÁLCULOS!RT_H1_C1=0,"",CÁLCULOS!RT_H1_C1)</f>
        <v>3.3471370683579984</v>
      </c>
      <c r="D96" s="157">
        <f>IF(CÁLCULOS!RT_H1_C1=0,"",CÁLCULOS!RT_H1_C1)</f>
        <v>3.3471370683579984</v>
      </c>
      <c r="E96" s="158">
        <f>IF(CÁLCULOS!RT_H1_C1=0,"",CÁLCULOS!RT_H1_C1)</f>
        <v>3.3471370683579984</v>
      </c>
      <c r="F96" s="217">
        <f>IF(ISERROR(F97),"",CÁLCULOS!RT_H1_C1)</f>
        <v>3.3471370683579984</v>
      </c>
      <c r="G96" s="151"/>
      <c r="H96" s="146"/>
      <c r="I96" s="155" t="s">
        <v>595</v>
      </c>
      <c r="J96" s="156">
        <f>IF(CÁLCULOS!RT_H1_C2=0,"",CÁLCULOS!RT_H1_C2)</f>
        <v>3.3933220912591899</v>
      </c>
      <c r="K96" s="157">
        <f>IF(CÁLCULOS!RT_H1_C2=0,"",CÁLCULOS!RT_H1_C2)</f>
        <v>3.3933220912591899</v>
      </c>
      <c r="L96" s="158">
        <f>IF(CÁLCULOS!RT_H1_C2=0,"",CÁLCULOS!RT_H1_C2)</f>
        <v>3.3933220912591899</v>
      </c>
      <c r="M96" s="217">
        <f>IF(ISERROR(M97),"",CÁLCULOS!RT_H1_C2)</f>
        <v>3.3933220912591899</v>
      </c>
      <c r="N96" s="153"/>
    </row>
    <row r="97" spans="1:56" ht="18.75" thickBot="1" x14ac:dyDescent="0.4">
      <c r="A97" s="146"/>
      <c r="B97" s="378" t="s">
        <v>279</v>
      </c>
      <c r="C97" s="379">
        <f>CÁLCULOS!$O$25</f>
        <v>0.72126892474630544</v>
      </c>
      <c r="D97" s="380">
        <f>CÁLCULOS!$Z$25</f>
        <v>1.0706347156164675</v>
      </c>
      <c r="E97" s="381">
        <f>CÁLCULOS!$AK$25</f>
        <v>1.3748151839773475</v>
      </c>
      <c r="F97" s="382">
        <f>CÁLCULOS!$AV$25</f>
        <v>0.28445715767889818</v>
      </c>
      <c r="G97" s="151"/>
      <c r="H97" s="146"/>
      <c r="I97" s="378" t="s">
        <v>279</v>
      </c>
      <c r="J97" s="379">
        <f>CÁLCULOS!$BT$25</f>
        <v>0.72126892474630544</v>
      </c>
      <c r="K97" s="380">
        <f>CÁLCULOS!$CE$25</f>
        <v>1.0706347156164675</v>
      </c>
      <c r="L97" s="381">
        <f>CÁLCULOS!$CP$25</f>
        <v>1.3748151839773475</v>
      </c>
      <c r="M97" s="382">
        <f>CÁLCULOS!DA25</f>
        <v>3.227028181562491</v>
      </c>
      <c r="N97" s="153"/>
      <c r="Q97" s="641" t="s">
        <v>202</v>
      </c>
      <c r="R97" s="641"/>
      <c r="S97" s="641"/>
      <c r="T97" s="641"/>
      <c r="U97" s="641"/>
      <c r="V97" s="641"/>
      <c r="W97" s="641"/>
      <c r="X97" s="641"/>
      <c r="Y97" s="641"/>
      <c r="Z97" s="641"/>
      <c r="AA97" s="641"/>
      <c r="AB97" s="641"/>
      <c r="AC97" s="641"/>
      <c r="AD97" s="641"/>
      <c r="AE97" s="641"/>
      <c r="AF97" s="641"/>
      <c r="AG97" s="641"/>
      <c r="AH97" s="641"/>
      <c r="AI97" s="641"/>
      <c r="AJ97" s="641"/>
      <c r="AK97" s="649" t="s">
        <v>203</v>
      </c>
      <c r="AL97" s="650"/>
      <c r="AM97" s="650"/>
      <c r="AN97" s="650"/>
      <c r="AO97" s="650"/>
      <c r="AP97" s="650"/>
      <c r="AQ97" s="650"/>
      <c r="AR97" s="650"/>
      <c r="AS97" s="650"/>
      <c r="AT97" s="650"/>
      <c r="AU97" s="650"/>
      <c r="AV97" s="650"/>
      <c r="AW97" s="650"/>
      <c r="AX97" s="650"/>
      <c r="AY97" s="650"/>
      <c r="AZ97" s="650"/>
      <c r="BA97" s="650"/>
      <c r="BB97" s="650"/>
      <c r="BC97" s="650"/>
      <c r="BD97" s="651"/>
    </row>
    <row r="98" spans="1:56" ht="7.5" customHeight="1" thickBot="1" x14ac:dyDescent="0.35">
      <c r="A98" s="146"/>
      <c r="B98" s="371"/>
      <c r="C98" s="372"/>
      <c r="D98" s="372"/>
      <c r="E98" s="372"/>
      <c r="F98" s="373"/>
      <c r="G98" s="151"/>
      <c r="H98" s="146"/>
      <c r="I98" s="383"/>
      <c r="J98" s="384"/>
      <c r="K98" s="384"/>
      <c r="L98" s="384"/>
      <c r="M98" s="385"/>
      <c r="N98" s="153"/>
      <c r="Q98" s="122"/>
      <c r="R98" s="131"/>
      <c r="S98" s="131"/>
      <c r="T98" s="131"/>
      <c r="U98" s="131"/>
      <c r="V98" s="347"/>
      <c r="W98" s="122"/>
      <c r="X98" s="131"/>
      <c r="Y98" s="347"/>
      <c r="Z98" s="122"/>
      <c r="AA98" s="131"/>
      <c r="AB98" s="347"/>
      <c r="AC98" s="122"/>
      <c r="AD98" s="131"/>
      <c r="AE98" s="347"/>
      <c r="AF98" s="122"/>
      <c r="AG98" s="131"/>
      <c r="AH98" s="347"/>
      <c r="AI98" s="122"/>
      <c r="AJ98" s="347"/>
      <c r="AK98" s="122"/>
      <c r="AL98" s="131"/>
      <c r="AM98" s="131"/>
      <c r="AN98" s="131"/>
      <c r="AO98" s="131"/>
      <c r="AP98" s="131"/>
      <c r="AQ98" s="131"/>
      <c r="AR98" s="131"/>
      <c r="AS98" s="131"/>
      <c r="AT98" s="131"/>
      <c r="AU98" s="131"/>
      <c r="AV98" s="131"/>
      <c r="AW98" s="131"/>
      <c r="AX98" s="131"/>
      <c r="AY98" s="131"/>
      <c r="AZ98" s="131"/>
      <c r="BA98" s="131"/>
      <c r="BB98" s="131"/>
      <c r="BC98" s="131"/>
      <c r="BD98" s="347"/>
    </row>
    <row r="99" spans="1:56" ht="17.25" x14ac:dyDescent="0.3">
      <c r="A99" s="162"/>
      <c r="B99" s="401" t="s">
        <v>277</v>
      </c>
      <c r="C99" s="361" t="str">
        <f>IF(CÁLCULOS!$O$20,"Sí","No")</f>
        <v>Sí</v>
      </c>
      <c r="D99" s="362" t="str">
        <f>IF(CÁLCULOS!$Z$20,"Sí","No")</f>
        <v>Sí</v>
      </c>
      <c r="E99" s="363" t="str">
        <f>IF(CÁLCULOS!$AK$20,"Sí","No")</f>
        <v>Sí</v>
      </c>
      <c r="F99" s="364" t="str">
        <f>IF(CÁLCULOS!$AV$20,"Sí","No")</f>
        <v>Sí</v>
      </c>
      <c r="G99" s="151"/>
      <c r="H99" s="162"/>
      <c r="I99" s="401" t="s">
        <v>277</v>
      </c>
      <c r="J99" s="361" t="str">
        <f>IF(CÁLCULOS!$BT$20,"Sí","No")</f>
        <v>No</v>
      </c>
      <c r="K99" s="362" t="str">
        <f>IF(CÁLCULOS!$CE$20,"Sí","No")</f>
        <v>No</v>
      </c>
      <c r="L99" s="363" t="str">
        <f>IF(CÁLCULOS!$CP$20,"Sí","No")</f>
        <v>No</v>
      </c>
      <c r="M99" s="364" t="str">
        <f>IF(CÁLCULOS!$DA$20,"Sí","No")</f>
        <v>Sí</v>
      </c>
      <c r="N99" s="153"/>
      <c r="Q99" s="122" t="s">
        <v>114</v>
      </c>
      <c r="R99" s="131" t="s">
        <v>116</v>
      </c>
      <c r="S99" s="131" t="s">
        <v>118</v>
      </c>
      <c r="T99" s="131" t="s">
        <v>119</v>
      </c>
      <c r="U99" s="132" t="s">
        <v>120</v>
      </c>
      <c r="V99" s="117" t="s">
        <v>121</v>
      </c>
      <c r="W99" s="123" t="s">
        <v>270</v>
      </c>
      <c r="X99" s="126" t="s">
        <v>211</v>
      </c>
      <c r="Y99" s="127" t="s">
        <v>216</v>
      </c>
      <c r="Z99" s="123" t="s">
        <v>271</v>
      </c>
      <c r="AA99" s="126" t="s">
        <v>212</v>
      </c>
      <c r="AB99" s="127" t="s">
        <v>217</v>
      </c>
      <c r="AC99" s="123" t="s">
        <v>272</v>
      </c>
      <c r="AD99" s="126" t="s">
        <v>213</v>
      </c>
      <c r="AE99" s="127" t="s">
        <v>216</v>
      </c>
      <c r="AF99" s="123" t="s">
        <v>273</v>
      </c>
      <c r="AG99" s="126" t="s">
        <v>214</v>
      </c>
      <c r="AH99" s="127" t="s">
        <v>215</v>
      </c>
      <c r="AI99" s="642" t="s">
        <v>218</v>
      </c>
      <c r="AJ99" s="643"/>
      <c r="AK99" s="122" t="s">
        <v>114</v>
      </c>
      <c r="AL99" s="131" t="s">
        <v>116</v>
      </c>
      <c r="AM99" s="131" t="s">
        <v>118</v>
      </c>
      <c r="AN99" s="131" t="s">
        <v>119</v>
      </c>
      <c r="AO99" s="132" t="s">
        <v>120</v>
      </c>
      <c r="AP99" s="117" t="s">
        <v>121</v>
      </c>
      <c r="AQ99" s="123" t="s">
        <v>270</v>
      </c>
      <c r="AR99" s="126" t="s">
        <v>211</v>
      </c>
      <c r="AS99" s="127" t="s">
        <v>216</v>
      </c>
      <c r="AT99" s="123" t="s">
        <v>271</v>
      </c>
      <c r="AU99" s="126" t="s">
        <v>212</v>
      </c>
      <c r="AV99" s="127" t="s">
        <v>217</v>
      </c>
      <c r="AW99" s="123" t="s">
        <v>272</v>
      </c>
      <c r="AX99" s="126" t="s">
        <v>213</v>
      </c>
      <c r="AY99" s="127" t="s">
        <v>216</v>
      </c>
      <c r="AZ99" s="123" t="s">
        <v>273</v>
      </c>
      <c r="BA99" s="126" t="s">
        <v>214</v>
      </c>
      <c r="BB99" s="127" t="s">
        <v>215</v>
      </c>
      <c r="BC99" s="642" t="s">
        <v>218</v>
      </c>
      <c r="BD99" s="643"/>
    </row>
    <row r="100" spans="1:56" ht="11.25" customHeight="1" x14ac:dyDescent="0.3">
      <c r="A100" s="162"/>
      <c r="B100" s="365" t="s">
        <v>281</v>
      </c>
      <c r="C100" s="163"/>
      <c r="D100" s="163"/>
      <c r="E100" s="163"/>
      <c r="F100" s="366"/>
      <c r="G100" s="151"/>
      <c r="H100" s="162"/>
      <c r="I100" s="365" t="s">
        <v>281</v>
      </c>
      <c r="J100" s="163"/>
      <c r="K100" s="163"/>
      <c r="L100" s="163"/>
      <c r="M100" s="369"/>
      <c r="N100" s="153"/>
      <c r="Q100" s="119"/>
      <c r="R100" s="15"/>
      <c r="S100" s="15"/>
      <c r="T100" s="15"/>
      <c r="U100" s="15" t="b">
        <v>1</v>
      </c>
      <c r="V100" s="118" t="b">
        <v>1</v>
      </c>
      <c r="W100" s="15" t="b">
        <v>1</v>
      </c>
      <c r="X100" s="15" t="b">
        <v>1</v>
      </c>
      <c r="Y100" s="118"/>
      <c r="Z100" s="15" t="b">
        <v>1</v>
      </c>
      <c r="AA100" s="15" t="b">
        <v>1</v>
      </c>
      <c r="AB100" s="118"/>
      <c r="AC100" s="15" t="b">
        <v>1</v>
      </c>
      <c r="AD100" s="15" t="b">
        <v>1</v>
      </c>
      <c r="AE100" s="118"/>
      <c r="AF100" s="15" t="b">
        <v>0</v>
      </c>
      <c r="AG100" s="15" t="b">
        <v>0</v>
      </c>
      <c r="AH100" s="118"/>
      <c r="AI100" s="119"/>
      <c r="AJ100" s="118"/>
      <c r="AK100" s="119"/>
      <c r="AL100" s="15"/>
      <c r="AM100" s="15"/>
      <c r="AN100" s="15"/>
      <c r="AO100" s="15" t="b">
        <v>1</v>
      </c>
      <c r="AP100" s="118" t="b">
        <v>1</v>
      </c>
      <c r="AQ100" s="15" t="b">
        <v>1</v>
      </c>
      <c r="AR100" s="15" t="b">
        <v>1</v>
      </c>
      <c r="AS100" s="118"/>
      <c r="AT100" s="15" t="b">
        <v>1</v>
      </c>
      <c r="AU100" s="15" t="b">
        <v>1</v>
      </c>
      <c r="AV100" s="118"/>
      <c r="AW100" s="15" t="b">
        <v>1</v>
      </c>
      <c r="AX100" s="15" t="b">
        <v>1</v>
      </c>
      <c r="AY100" s="118"/>
      <c r="AZ100" s="15" t="b">
        <v>0</v>
      </c>
      <c r="BA100" s="15" t="b">
        <v>0</v>
      </c>
      <c r="BB100" s="118"/>
      <c r="BC100" s="119"/>
      <c r="BD100" s="118"/>
    </row>
    <row r="101" spans="1:56" ht="15.75" customHeight="1" x14ac:dyDescent="0.25">
      <c r="A101" s="162"/>
      <c r="B101" s="154" t="str">
        <f>IF(CÁLCULOS!B6="Interior",NA(),CÁLCULOS!B6)</f>
        <v>Superficie exterior</v>
      </c>
      <c r="C101" s="160" t="str">
        <f t="array" ref="C101:C113">IF($Y$101:$Y$113&gt;0,"X","")</f>
        <v/>
      </c>
      <c r="D101" s="161" t="str">
        <f t="array" ref="D101:D113">IF($AB$101:$AB$113&gt;0,"X","")</f>
        <v/>
      </c>
      <c r="E101" s="161" t="str">
        <f t="array" ref="E101:E113">IF($AE$101:$AE$113&gt;0,"X","")</f>
        <v/>
      </c>
      <c r="F101" s="220" t="str">
        <f t="array" ref="F101:F113">IF($AH$101:$AH$113&gt;0,"X","")</f>
        <v/>
      </c>
      <c r="G101" s="153"/>
      <c r="H101" s="162"/>
      <c r="I101" s="154" t="str">
        <f>IF(CÁLCULOS!BG6="Interior",NA(),CÁLCULOS!BG6)</f>
        <v>Superficie exterior</v>
      </c>
      <c r="J101" s="160" t="str">
        <f t="array" ref="J101:J113">IF($AS$101:$AS$113&gt;0,"X","")</f>
        <v/>
      </c>
      <c r="K101" s="161" t="str">
        <f t="array" ref="K101:K113">IF($AV$101:$AV$113&gt;0,"X","")</f>
        <v/>
      </c>
      <c r="L101" s="161" t="str">
        <f t="array" ref="L101:L113">IF($AY$101:$AY$113&gt;0,"X","")</f>
        <v/>
      </c>
      <c r="M101" s="222" t="str">
        <f t="array" ref="M101:M113">IF($BB$101:$BB$113&gt;0,"X","")</f>
        <v/>
      </c>
      <c r="N101" s="153"/>
      <c r="P101" s="1">
        <v>0</v>
      </c>
      <c r="Q101" s="119"/>
      <c r="R101" s="15">
        <f t="array" ref="R101:R113">CÁLCULOS!$G$6:$G$18</f>
        <v>0</v>
      </c>
      <c r="S101" s="15">
        <f t="array" ref="S101:S113">CÁLCULOS!$I$6:$I$18</f>
        <v>0</v>
      </c>
      <c r="T101" s="15">
        <f t="array" ref="T101:T113">CÁLCULOS!$J$6:$J$18</f>
        <v>0</v>
      </c>
      <c r="U101" s="139">
        <f t="array" ref="U101:U113">IF(U100,CÁLCULOS!$K$6:$K$18,NA())</f>
        <v>-0.16816007705932362</v>
      </c>
      <c r="V101" s="140">
        <f t="array" ref="V101:V113">IF(V100,CÁLCULOS!$L$6:$L$18,NA())</f>
        <v>602.09456380131962</v>
      </c>
      <c r="W101" s="143">
        <f t="array" ref="W101:W113">IF(W$100,CÁLCULOS!M$6:M$18,NA())</f>
        <v>-1.2170010266451134</v>
      </c>
      <c r="X101" s="51">
        <f t="array" aca="1" ref="X101:X113" ca="1">IF(X$100,IF(Seccion1!$R$57,CÁLCULOS!$P$6:$P$18,CÁLCULOS!$N$6:$N$18),NA())</f>
        <v>561.14457764860811</v>
      </c>
      <c r="Y101" s="120">
        <f t="array" ref="Y101:Y113">CÁLCULOS!$O$6:$O$18</f>
        <v>0</v>
      </c>
      <c r="Z101" s="143">
        <f t="array" ref="Z101:Z113">IF(Z$100,CÁLCULOS!X$6:X$18,NA())</f>
        <v>-1.2170010266451134</v>
      </c>
      <c r="AA101" s="51">
        <f t="array" aca="1" ref="AA101:AA113" ca="1">IF($AA$100,IF(Seccion1!$R$57,CÁLCULOS!$AG$6:$AG$18,CÁLCULOS!$Y$6:$Y$18),NA())</f>
        <v>561.14457764860811</v>
      </c>
      <c r="AB101" s="120">
        <f t="array" ref="AB101:AB113">CÁLCULOS!$Z$6:$Z$18</f>
        <v>0</v>
      </c>
      <c r="AC101" s="143">
        <f t="array" ref="AC101:AC113">IF(AC$100,CÁLCULOS!AI$6:AI$18,NA())</f>
        <v>-1.2170010266451134</v>
      </c>
      <c r="AD101" s="51">
        <f t="array" aca="1" ref="AD101:AD113" ca="1">IF($AD$100,IF(Seccion1!$R$57,CÁLCULOS!$AR$6:$AR$18,CÁLCULOS!$AJ$6:$AJ$18),NA())</f>
        <v>561.14457764860811</v>
      </c>
      <c r="AE101" s="120">
        <f t="array" ref="AE101:AE113">CÁLCULOS!$AK$6:$AK$18</f>
        <v>0</v>
      </c>
      <c r="AF101" s="143" t="e">
        <f t="array" ref="AF101:AF113">IF(AF$100,CÁLCULOS!AT$6:AT$18,NA())</f>
        <v>#N/A</v>
      </c>
      <c r="AG101" s="51" t="e">
        <f t="array" ref="AG101:AG113">IF($AG$100,IF(Seccion1!$R$57,CÁLCULOS!$BC$6:$BC$18,CÁLCULOS!$AU$6:$AU$18),NA())</f>
        <v>#N/A</v>
      </c>
      <c r="AH101" s="120">
        <f t="array" ref="AH101:AH113">CÁLCULOS!$AV$6:$AV$18</f>
        <v>0</v>
      </c>
      <c r="AI101" s="121" t="e">
        <f>IF(IF(ISNUMBER(Seccion1!Y101),Seccion1!Y101,0)+IF(ISNUMBER(Seccion1!AB101),Seccion1!AB101,0)+IF(ISNUMBER(Seccion1!AE101),Seccion1!AE101,0)&gt;0,Seccion1!V101,NA())</f>
        <v>#N/A</v>
      </c>
      <c r="AJ101" s="120" t="e">
        <f>IF(AI101&gt;0,CHOOSE(Seccion1!Y101+Seccion1!AB101+Seccion1!AE101,"cond. a HR = "&amp;(VLOOKUP(3,φi[],2,)*100)&amp;"%","cond. a HR = "&amp;(VLOOKUP(2,φi[],2,)*100)&amp;"% y "&amp;(VLOOKUP(3,φi[],2,)*100)&amp;"%","cond. a HR = "&amp;(VLOOKUP(1,φi[],2,)*100)&amp;"%, "&amp;(VLOOKUP(2,φi[],2,)*100)&amp;"% y "&amp;(VLOOKUP(3,φi[],2,)*100)&amp;"%"),NA())</f>
        <v>#N/A</v>
      </c>
      <c r="AK101" s="133"/>
      <c r="AL101" s="48">
        <f t="array" ref="AL101:AL113">CÁLCULOS!$BL$6:$BL$18</f>
        <v>0</v>
      </c>
      <c r="AM101" s="48">
        <f t="array" ref="AM101:AM113">CÁLCULOS!$BN$6:$BN$18</f>
        <v>0</v>
      </c>
      <c r="AN101" s="15">
        <f t="array" ref="AN101:AN113">CÁLCULOS!$BO$6:$BO$18</f>
        <v>0</v>
      </c>
      <c r="AO101" s="51">
        <f t="array" ref="AO101:AO113">IF(AO100,CÁLCULOS!$BP$6:$BP$18,NA())</f>
        <v>-0.1713155488543551</v>
      </c>
      <c r="AP101" s="140">
        <f t="array" ref="AP101:AP113">IF(AP100,CÁLCULOS!$BQ$6:$BQ$18,NA())</f>
        <v>601.93784846556855</v>
      </c>
      <c r="AQ101" s="143">
        <f t="array" ref="AQ101:AQ113">IF(AQ$100,CÁLCULOS!BR$6:BR$18,NA())</f>
        <v>-1.2170010266451134</v>
      </c>
      <c r="AR101" s="51">
        <f t="array" aca="1" ref="AR101:AR113" ca="1">IF(AR$100,IF(Seccion1!$R$57,CÁLCULOS!$CA$6:$CA$18,CÁLCULOS!$BS$6:$BS$18),NA())</f>
        <v>561.14457764860811</v>
      </c>
      <c r="AS101" s="120">
        <f t="array" ref="AS101:AS113">CÁLCULOS!$BT$6:$BT$18</f>
        <v>0</v>
      </c>
      <c r="AT101" s="143">
        <f t="array" ref="AT101:AT113">IF(AT$100,CÁLCULOS!CC6:CC18,NA())</f>
        <v>-1.2170010266451134</v>
      </c>
      <c r="AU101" s="51">
        <f t="array" aca="1" ref="AU101:AU113" ca="1">IF(AU$100,IF(Seccion1!$R$57,CÁLCULOS!$CL$6:$CL$18,CÁLCULOS!$CD$6:$CD$18),NA())</f>
        <v>561.14457764860811</v>
      </c>
      <c r="AV101" s="120">
        <f t="array" ref="AV101:AV113">CÁLCULOS!CE6:CE18</f>
        <v>0</v>
      </c>
      <c r="AW101" s="143">
        <f t="array" ref="AW101:AW113">IF(AW$100,CÁLCULOS!CN$6:CN$18,NA())</f>
        <v>-1.2170010266451134</v>
      </c>
      <c r="AX101" s="51">
        <f t="array" aca="1" ref="AX101:AX113" ca="1">IF(AX$100,IF(Seccion1!$R$57,CÁLCULOS!$CW$6:$CW$18,CÁLCULOS!$CO$6:$CO$18),NA())</f>
        <v>561.14457764860811</v>
      </c>
      <c r="AY101" s="128">
        <f t="array" ref="AY101:AY113">CÁLCULOS!CP6:CP18</f>
        <v>0</v>
      </c>
      <c r="AZ101" s="143" t="e">
        <f t="array" ref="AZ101:AZ113">IF(AZ100,CÁLCULOS!CY$6:CY$18,NA())</f>
        <v>#N/A</v>
      </c>
      <c r="BA101" s="51" t="e">
        <f t="array" ref="BA101:BA113">IF(BA$100,IF(Seccion1!$R$57,CÁLCULOS!$DH$6:$DH$18,CÁLCULOS!$CZ$6:$CZ$18),NA())</f>
        <v>#N/A</v>
      </c>
      <c r="BB101" s="128">
        <f t="array" ref="BB101:BB113">CÁLCULOS!DA6:DA18</f>
        <v>0</v>
      </c>
      <c r="BC101" s="121" t="e">
        <f>IF(IF(ISNUMBER(Seccion1!AS101),Seccion1!AS101,0)+IF(ISNUMBER(Seccion1!AV101),Seccion1!AV101,0)+IF(ISNUMBER(Seccion1!AY101),Seccion1!AY101,0)&gt;0,Seccion1!AP101,NA())</f>
        <v>#N/A</v>
      </c>
      <c r="BD101" s="120" t="e">
        <f>IF(BC101&gt;0,CHOOSE(Seccion1!AS101+Seccion1!AV101+Seccion1!AY101,"cond. a HR = "&amp;(VLOOKUP(3,φi[],2,)*100)&amp;"%","cond. a HR = "&amp;(VLOOKUP(2,φi[],2,)*100)&amp;"% y "&amp;(VLOOKUP(3,φi[],2,)*100)&amp;"%","cond. a HR = "&amp;(VLOOKUP(1,φi[],2,)*100)&amp;"%, "&amp;(VLOOKUP(2,φi[],2,)*100)&amp;"% y "&amp;(VLOOKUP(3,φi[],2,)*100)&amp;"%"),NA())</f>
        <v>#N/A</v>
      </c>
    </row>
    <row r="102" spans="1:56" ht="15.75" x14ac:dyDescent="0.25">
      <c r="A102" s="162"/>
      <c r="B102" s="159" t="str">
        <f>IF(CÁLCULOS!B7="Interior",NA(),CÁLCULOS!B7)</f>
        <v>Interfase 1</v>
      </c>
      <c r="C102" s="160" t="str">
        <v>X</v>
      </c>
      <c r="D102" s="161" t="str">
        <v>X</v>
      </c>
      <c r="E102" s="161" t="str">
        <v>X</v>
      </c>
      <c r="F102" s="220" t="str">
        <v/>
      </c>
      <c r="G102" s="153"/>
      <c r="H102" s="162"/>
      <c r="I102" s="159" t="str">
        <f>IF(CÁLCULOS!BG7="Interior",NA(),CÁLCULOS!BG7)</f>
        <v>Interfase 1</v>
      </c>
      <c r="J102" s="160" t="str">
        <v/>
      </c>
      <c r="K102" s="161" t="str">
        <v/>
      </c>
      <c r="L102" s="161" t="str">
        <v/>
      </c>
      <c r="M102" s="222" t="str">
        <v/>
      </c>
      <c r="N102" s="153"/>
      <c r="P102" s="1">
        <v>1</v>
      </c>
      <c r="Q102" s="119">
        <f t="array" ref="Q102:Q113">CÁLCULOS!d_AT1_C1</f>
        <v>6.0000000000000001E-3</v>
      </c>
      <c r="R102" s="15">
        <v>6.0000000000000001E-3</v>
      </c>
      <c r="S102" s="15">
        <v>0.83513399999999993</v>
      </c>
      <c r="T102" s="15">
        <v>0.83513399999999993</v>
      </c>
      <c r="U102" s="139">
        <v>-1.0087402327044193E-2</v>
      </c>
      <c r="V102" s="140">
        <v>609.99279377079426</v>
      </c>
      <c r="W102" s="143">
        <v>0.67078633623581774</v>
      </c>
      <c r="X102" s="51">
        <f ca="1"/>
        <v>609.99279377079426</v>
      </c>
      <c r="Y102" s="120">
        <v>1</v>
      </c>
      <c r="Z102" s="143">
        <v>1.1145088152433513</v>
      </c>
      <c r="AA102" s="51">
        <f ca="1"/>
        <v>609.99279377079426</v>
      </c>
      <c r="AB102" s="120">
        <v>1</v>
      </c>
      <c r="AC102" s="143">
        <v>1.3316735480360087</v>
      </c>
      <c r="AD102" s="51">
        <f ca="1"/>
        <v>609.99279377079426</v>
      </c>
      <c r="AE102" s="120">
        <v>1</v>
      </c>
      <c r="AF102" s="143" t="e">
        <v>#N/A</v>
      </c>
      <c r="AG102" s="51" t="e">
        <v>#N/A</v>
      </c>
      <c r="AH102" s="120">
        <v>0</v>
      </c>
      <c r="AI102" s="121">
        <f>IF(IF(ISNUMBER(Seccion1!Y102),Seccion1!Y102,0)+IF(ISNUMBER(Seccion1!AB102),Seccion1!AB102,0)+IF(ISNUMBER(Seccion1!AE102),Seccion1!AE102,0)&gt;0,Seccion1!V102,NA())</f>
        <v>609.99279377079426</v>
      </c>
      <c r="AJ102" s="120" t="str">
        <f>IF(AI102&gt;0,CHOOSE(Seccion1!Y102+Seccion1!AB102+Seccion1!AE102,"cond. a HR = "&amp;(VLOOKUP(3,φi[],2,)*100)&amp;"%","cond. a HR = "&amp;(VLOOKUP(2,φi[],2,)*100)&amp;"% y "&amp;(VLOOKUP(3,φi[],2,)*100)&amp;"%","cond. a HR = "&amp;(VLOOKUP(1,φi[],2,)*100)&amp;"%, "&amp;(VLOOKUP(2,φi[],2,)*100)&amp;"% y "&amp;(VLOOKUP(3,φi[],2,)*100)&amp;"%"),NA())</f>
        <v>cond. a HR = 65%, 75% y 80%</v>
      </c>
      <c r="AK102" s="119">
        <f t="array" ref="AK102:AK113">CÁLCULOS!d_AT1_C2</f>
        <v>6.0000000000000001E-3</v>
      </c>
      <c r="AL102" s="15">
        <v>6.0000000000000001E-3</v>
      </c>
      <c r="AM102" s="48">
        <v>0.83513399999999993</v>
      </c>
      <c r="AN102" s="15">
        <v>0.83513399999999993</v>
      </c>
      <c r="AO102" s="51">
        <v>-1.5394332164142599E-2</v>
      </c>
      <c r="AP102" s="140">
        <v>609.72610893781007</v>
      </c>
      <c r="AQ102" s="143">
        <v>-0.66588883334175086</v>
      </c>
      <c r="AR102" s="51">
        <f ca="1"/>
        <v>583.88790331160362</v>
      </c>
      <c r="AS102" s="120">
        <v>0</v>
      </c>
      <c r="AT102" s="143">
        <v>-0.52930826853698199</v>
      </c>
      <c r="AU102" s="51">
        <f ca="1"/>
        <v>589.65319076571848</v>
      </c>
      <c r="AV102" s="120">
        <v>0</v>
      </c>
      <c r="AW102" s="143">
        <v>-0.46147520512806794</v>
      </c>
      <c r="AX102" s="51">
        <f ca="1"/>
        <v>592.53583449277573</v>
      </c>
      <c r="AY102" s="128">
        <v>0</v>
      </c>
      <c r="AZ102" s="143" t="e">
        <v>#N/A</v>
      </c>
      <c r="BA102" s="51" t="e">
        <v>#N/A</v>
      </c>
      <c r="BB102" s="128">
        <v>0</v>
      </c>
      <c r="BC102" s="121" t="e">
        <f>IF(IF(ISNUMBER(Seccion1!AS102),Seccion1!AS102,0)+IF(ISNUMBER(Seccion1!AV102),Seccion1!AV102,0)+IF(ISNUMBER(Seccion1!AY102),Seccion1!AY102,0)&gt;0,Seccion1!AP102,NA())</f>
        <v>#N/A</v>
      </c>
      <c r="BD102" s="120" t="e">
        <f>IF(BC102&gt;0,CHOOSE(Seccion1!AS102+Seccion1!AV102+Seccion1!AY102,"cond. a HR = "&amp;(VLOOKUP(3,φi[],2,)*100)&amp;"%","cond. a HR = "&amp;(VLOOKUP(2,φi[],2,)*100)&amp;"% y "&amp;(VLOOKUP(3,φi[],2,)*100)&amp;"%","cond. a HR = "&amp;(VLOOKUP(1,φi[],2,)*100)&amp;"%, "&amp;(VLOOKUP(2,φi[],2,)*100)&amp;"% y "&amp;(VLOOKUP(3,φi[],2,)*100)&amp;"%"),NA())</f>
        <v>#N/A</v>
      </c>
    </row>
    <row r="103" spans="1:56" ht="15.75" x14ac:dyDescent="0.25">
      <c r="A103" s="162"/>
      <c r="B103" s="154" t="str">
        <f>IF(CÁLCULOS!B8="Interior",NA(),CÁLCULOS!B8)</f>
        <v>Interfase 2</v>
      </c>
      <c r="C103" s="160" t="str">
        <v>X</v>
      </c>
      <c r="D103" s="161" t="str">
        <v>X</v>
      </c>
      <c r="E103" s="161" t="str">
        <v>X</v>
      </c>
      <c r="F103" s="221" t="str">
        <v>X</v>
      </c>
      <c r="G103" s="153"/>
      <c r="H103" s="162"/>
      <c r="I103" s="154" t="str">
        <f>IF(CÁLCULOS!BG8="Interior",NA(),CÁLCULOS!BG8)</f>
        <v>Interfase 2</v>
      </c>
      <c r="J103" s="160" t="str">
        <v/>
      </c>
      <c r="K103" s="161" t="str">
        <v/>
      </c>
      <c r="L103" s="161" t="str">
        <v/>
      </c>
      <c r="M103" s="223" t="str">
        <v/>
      </c>
      <c r="N103" s="153"/>
      <c r="P103" s="1">
        <v>2</v>
      </c>
      <c r="Q103" s="119">
        <v>1.11E-2</v>
      </c>
      <c r="R103" s="15">
        <v>1.7100000000000001E-2</v>
      </c>
      <c r="S103" s="15">
        <v>4.1181000000000001</v>
      </c>
      <c r="T103" s="15">
        <v>4.9532340000000001</v>
      </c>
      <c r="U103" s="139">
        <v>0.52604241947327013</v>
      </c>
      <c r="V103" s="140">
        <v>634.27031715371572</v>
      </c>
      <c r="W103" s="143">
        <v>7.6307427851613534</v>
      </c>
      <c r="X103" s="51">
        <f ca="1"/>
        <v>634.27031715371572</v>
      </c>
      <c r="Y103" s="120">
        <v>1</v>
      </c>
      <c r="Z103" s="143">
        <v>9.2682787165814879</v>
      </c>
      <c r="AA103" s="51">
        <f ca="1"/>
        <v>634.27031715371572</v>
      </c>
      <c r="AB103" s="120">
        <v>1</v>
      </c>
      <c r="AC103" s="143">
        <v>10.030148704608713</v>
      </c>
      <c r="AD103" s="51">
        <f ca="1"/>
        <v>634.27031715371572</v>
      </c>
      <c r="AE103" s="120">
        <v>1</v>
      </c>
      <c r="AF103" s="143" t="e">
        <v>#N/A</v>
      </c>
      <c r="AG103" s="51" t="e">
        <v>#N/A</v>
      </c>
      <c r="AH103" s="120">
        <v>1</v>
      </c>
      <c r="AI103" s="121">
        <f>IF(IF(ISNUMBER(Seccion1!Y103),Seccion1!Y103,0)+IF(ISNUMBER(Seccion1!AB103),Seccion1!AB103,0)+IF(ISNUMBER(Seccion1!AE103),Seccion1!AE103,0)&gt;0,Seccion1!V103,NA())</f>
        <v>634.27031715371572</v>
      </c>
      <c r="AJ103" s="120" t="str">
        <f>IF(AI103&gt;0,CHOOSE(Seccion1!Y103+Seccion1!AB103+Seccion1!AE103,"cond. a HR = "&amp;(VLOOKUP(3,φi[],2,)*100)&amp;"%","cond. a HR = "&amp;(VLOOKUP(2,φi[],2,)*100)&amp;"% y "&amp;(VLOOKUP(3,φi[],2,)*100)&amp;"%","cond. a HR = "&amp;(VLOOKUP(1,φi[],2,)*100)&amp;"%, "&amp;(VLOOKUP(2,φi[],2,)*100)&amp;"% y "&amp;(VLOOKUP(3,φi[],2,)*100)&amp;"%"),NA())</f>
        <v>cond. a HR = 65%, 75% y 80%</v>
      </c>
      <c r="AK103" s="119">
        <v>3.6999999999999999E-4</v>
      </c>
      <c r="AL103" s="15">
        <v>6.3699999999999998E-3</v>
      </c>
      <c r="AM103" s="48">
        <v>0.10878</v>
      </c>
      <c r="AN103" s="15">
        <v>0.94391399999999992</v>
      </c>
      <c r="AO103" s="51">
        <v>-4.2610102004730921E-3</v>
      </c>
      <c r="AP103" s="140">
        <v>610.28570476457605</v>
      </c>
      <c r="AQ103" s="143">
        <v>-0.59555535314402075</v>
      </c>
      <c r="AR103" s="51">
        <f ca="1"/>
        <v>586.85032486984539</v>
      </c>
      <c r="AS103" s="120">
        <v>0</v>
      </c>
      <c r="AT103" s="143">
        <v>-0.44198276912525941</v>
      </c>
      <c r="AU103" s="51">
        <f ca="1"/>
        <v>593.36656722372311</v>
      </c>
      <c r="AV103" s="120">
        <v>0</v>
      </c>
      <c r="AW103" s="143">
        <v>-0.3657736830036758</v>
      </c>
      <c r="AX103" s="51">
        <f ca="1"/>
        <v>596.62468840066185</v>
      </c>
      <c r="AY103" s="128">
        <v>0</v>
      </c>
      <c r="AZ103" s="143" t="e">
        <v>#N/A</v>
      </c>
      <c r="BA103" s="51" t="e">
        <v>#N/A</v>
      </c>
      <c r="BB103" s="128">
        <v>0</v>
      </c>
      <c r="BC103" s="121" t="e">
        <f>IF(IF(ISNUMBER(Seccion1!AS103),Seccion1!AS103,0)+IF(ISNUMBER(Seccion1!AV103),Seccion1!AV103,0)+IF(ISNUMBER(Seccion1!AY103),Seccion1!AY103,0)&gt;0,Seccion1!AP103,NA())</f>
        <v>#N/A</v>
      </c>
      <c r="BD103" s="120" t="e">
        <f>IF(BC103&gt;0,CHOOSE(Seccion1!AS103+Seccion1!AV103+Seccion1!AY103,"cond. a HR = "&amp;(VLOOKUP(3,φi[],2,)*100)&amp;"%","cond. a HR = "&amp;(VLOOKUP(2,φi[],2,)*100)&amp;"% y "&amp;(VLOOKUP(3,φi[],2,)*100)&amp;"%","cond. a HR = "&amp;(VLOOKUP(1,φi[],2,)*100)&amp;"%, "&amp;(VLOOKUP(2,φi[],2,)*100)&amp;"% y "&amp;(VLOOKUP(3,φi[],2,)*100)&amp;"%"),NA())</f>
        <v>#N/A</v>
      </c>
    </row>
    <row r="104" spans="1:56" ht="15.75" x14ac:dyDescent="0.25">
      <c r="A104" s="162"/>
      <c r="B104" s="159" t="str">
        <f>IF(CÁLCULOS!B9="Interior",NA(),CÁLCULOS!B9)</f>
        <v>Interfase 3</v>
      </c>
      <c r="C104" s="160" t="str">
        <v>X</v>
      </c>
      <c r="D104" s="161" t="str">
        <v>X</v>
      </c>
      <c r="E104" s="161" t="str">
        <v>X</v>
      </c>
      <c r="F104" s="220" t="str">
        <v/>
      </c>
      <c r="G104" s="153"/>
      <c r="H104" s="162"/>
      <c r="I104" s="159" t="str">
        <f>IF(CÁLCULOS!BG9="Interior",NA(),CÁLCULOS!BG9)</f>
        <v>Interfase 3</v>
      </c>
      <c r="J104" s="160" t="str">
        <v/>
      </c>
      <c r="K104" s="161" t="str">
        <v/>
      </c>
      <c r="L104" s="161" t="str">
        <v/>
      </c>
      <c r="M104" s="222" t="str">
        <v/>
      </c>
      <c r="N104" s="153"/>
      <c r="P104" s="1">
        <v>3</v>
      </c>
      <c r="Q104" s="119">
        <v>5.0000000000000001E-3</v>
      </c>
      <c r="R104" s="15">
        <v>2.2100000000000002E-2</v>
      </c>
      <c r="S104" s="15">
        <v>0.01</v>
      </c>
      <c r="T104" s="15">
        <v>4.9632339999999999</v>
      </c>
      <c r="U104" s="139">
        <v>1.1346222171925455</v>
      </c>
      <c r="V104" s="140">
        <v>662.78793357158236</v>
      </c>
      <c r="W104" s="143">
        <v>7.644449510632997</v>
      </c>
      <c r="X104" s="51">
        <f ca="1"/>
        <v>662.78793357158236</v>
      </c>
      <c r="Y104" s="120">
        <v>1</v>
      </c>
      <c r="Z104" s="143">
        <v>9.2838361598934878</v>
      </c>
      <c r="AA104" s="51">
        <f ca="1"/>
        <v>662.78793357158236</v>
      </c>
      <c r="AB104" s="120">
        <v>1</v>
      </c>
      <c r="AC104" s="143">
        <v>10.046514305045381</v>
      </c>
      <c r="AD104" s="51">
        <f ca="1"/>
        <v>662.78793357158236</v>
      </c>
      <c r="AE104" s="120">
        <v>1</v>
      </c>
      <c r="AF104" s="143" t="e">
        <v>#N/A</v>
      </c>
      <c r="AG104" s="51" t="e">
        <v>#N/A</v>
      </c>
      <c r="AH104" s="120">
        <v>0</v>
      </c>
      <c r="AI104" s="121">
        <f>IF(IF(ISNUMBER(Seccion1!Y104),Seccion1!Y104,0)+IF(ISNUMBER(Seccion1!AB104),Seccion1!AB104,0)+IF(ISNUMBER(Seccion1!AE104),Seccion1!AE104,0)&gt;0,Seccion1!V104,NA())</f>
        <v>662.78793357158236</v>
      </c>
      <c r="AJ104" s="120" t="str">
        <f>IF(AI104&gt;0,CHOOSE(Seccion1!Y104+Seccion1!AB104+Seccion1!AE104,"cond. a HR = "&amp;(VLOOKUP(3,φi[],2,)*100)&amp;"%","cond. a HR = "&amp;(VLOOKUP(2,φi[],2,)*100)&amp;"% y "&amp;(VLOOKUP(3,φi[],2,)*100)&amp;"%","cond. a HR = "&amp;(VLOOKUP(1,φi[],2,)*100)&amp;"%, "&amp;(VLOOKUP(2,φi[],2,)*100)&amp;"% y "&amp;(VLOOKUP(3,φi[],2,)*100)&amp;"%"),NA())</f>
        <v>cond. a HR = 65%, 75% y 80%</v>
      </c>
      <c r="AK104" s="119">
        <v>5.0000000000000001E-3</v>
      </c>
      <c r="AL104" s="15">
        <v>1.137E-2</v>
      </c>
      <c r="AM104" s="48">
        <v>0.01</v>
      </c>
      <c r="AN104" s="15">
        <v>0.95391399999999993</v>
      </c>
      <c r="AO104" s="51">
        <v>0.59603567405684477</v>
      </c>
      <c r="AP104" s="140">
        <v>637.49398439631784</v>
      </c>
      <c r="AQ104" s="143">
        <v>-0.58910599460906332</v>
      </c>
      <c r="AR104" s="51">
        <f ca="1"/>
        <v>587.12265632399522</v>
      </c>
      <c r="AS104" s="120">
        <v>0</v>
      </c>
      <c r="AT104" s="143">
        <v>-0.43398014268972612</v>
      </c>
      <c r="AU104" s="51">
        <f ca="1"/>
        <v>593.7079329580497</v>
      </c>
      <c r="AV104" s="120">
        <v>0</v>
      </c>
      <c r="AW104" s="143">
        <v>-0.35700607786462851</v>
      </c>
      <c r="AX104" s="51">
        <f ca="1"/>
        <v>597.00057127507682</v>
      </c>
      <c r="AY104" s="128">
        <v>0</v>
      </c>
      <c r="AZ104" s="143" t="e">
        <v>#N/A</v>
      </c>
      <c r="BA104" s="51" t="e">
        <v>#N/A</v>
      </c>
      <c r="BB104" s="128">
        <v>0</v>
      </c>
      <c r="BC104" s="121" t="e">
        <f>IF(IF(ISNUMBER(Seccion1!AS104),Seccion1!AS104,0)+IF(ISNUMBER(Seccion1!AV104),Seccion1!AV104,0)+IF(ISNUMBER(Seccion1!AY104),Seccion1!AY104,0)&gt;0,Seccion1!AP104,NA())</f>
        <v>#N/A</v>
      </c>
      <c r="BD104" s="120" t="e">
        <f>IF(BC104&gt;0,CHOOSE(Seccion1!AS104+Seccion1!AV104+Seccion1!AY104,"cond. a HR = "&amp;(VLOOKUP(3,φi[],2,)*100)&amp;"%","cond. a HR = "&amp;(VLOOKUP(2,φi[],2,)*100)&amp;"% y "&amp;(VLOOKUP(3,φi[],2,)*100)&amp;"%","cond. a HR = "&amp;(VLOOKUP(1,φi[],2,)*100)&amp;"%, "&amp;(VLOOKUP(2,φi[],2,)*100)&amp;"% y "&amp;(VLOOKUP(3,φi[],2,)*100)&amp;"%"),NA())</f>
        <v>#N/A</v>
      </c>
    </row>
    <row r="105" spans="1:56" ht="15.75" x14ac:dyDescent="0.25">
      <c r="A105" s="162"/>
      <c r="B105" s="154" t="str">
        <f>IF(CÁLCULOS!B10="Interior",NA(),CÁLCULOS!B10)</f>
        <v>Interfase 4</v>
      </c>
      <c r="C105" s="160" t="str">
        <v/>
      </c>
      <c r="D105" s="161" t="str">
        <v/>
      </c>
      <c r="E105" s="161" t="str">
        <v/>
      </c>
      <c r="F105" s="221" t="str">
        <v/>
      </c>
      <c r="G105" s="153"/>
      <c r="H105" s="162"/>
      <c r="I105" s="154" t="str">
        <f>IF(CÁLCULOS!BG10="Interior",NA(),CÁLCULOS!BG10)</f>
        <v>Interfase 4</v>
      </c>
      <c r="J105" s="160" t="str">
        <v/>
      </c>
      <c r="K105" s="161" t="str">
        <v/>
      </c>
      <c r="L105" s="161" t="str">
        <v/>
      </c>
      <c r="M105" s="223" t="str">
        <v/>
      </c>
      <c r="N105" s="153"/>
      <c r="P105" s="1">
        <v>4</v>
      </c>
      <c r="Q105" s="119">
        <v>0.12</v>
      </c>
      <c r="R105" s="15">
        <v>0.1421</v>
      </c>
      <c r="S105" s="15">
        <v>3.7199999999999998</v>
      </c>
      <c r="T105" s="15">
        <v>8.6832339999999988</v>
      </c>
      <c r="U105" s="139">
        <v>17.3095005618909</v>
      </c>
      <c r="V105" s="140">
        <v>1974.9585502607806</v>
      </c>
      <c r="W105" s="143">
        <v>12.089594586781622</v>
      </c>
      <c r="X105" s="51">
        <f ca="1"/>
        <v>1388.4824726657748</v>
      </c>
      <c r="Y105" s="120">
        <v>0</v>
      </c>
      <c r="Z105" s="143">
        <v>14.258443549431414</v>
      </c>
      <c r="AA105" s="51">
        <f ca="1"/>
        <v>1596.8927437072005</v>
      </c>
      <c r="AB105" s="120">
        <v>0</v>
      </c>
      <c r="AC105" s="143">
        <v>15.24900474733203</v>
      </c>
      <c r="AD105" s="51">
        <f ca="1"/>
        <v>1701.0978792279132</v>
      </c>
      <c r="AE105" s="120">
        <v>0</v>
      </c>
      <c r="AF105" s="143" t="e">
        <v>#N/A</v>
      </c>
      <c r="AG105" s="51" t="e">
        <v>#N/A</v>
      </c>
      <c r="AH105" s="120">
        <v>0</v>
      </c>
      <c r="AI105" s="121" t="e">
        <f>IF(IF(ISNUMBER(Seccion1!Y105),Seccion1!Y105,0)+IF(ISNUMBER(Seccion1!AB105),Seccion1!AB105,0)+IF(ISNUMBER(Seccion1!AE105),Seccion1!AE105,0)&gt;0,Seccion1!V105,NA())</f>
        <v>#N/A</v>
      </c>
      <c r="AJ105" s="120" t="e">
        <f>IF(AI105&gt;0,CHOOSE(Seccion1!Y105+Seccion1!AB105+Seccion1!AE105,"cond. a HR = "&amp;(VLOOKUP(3,φi[],2,)*100)&amp;"%","cond. a HR = "&amp;(VLOOKUP(2,φi[],2,)*100)&amp;"% y "&amp;(VLOOKUP(3,φi[],2,)*100)&amp;"%","cond. a HR = "&amp;(VLOOKUP(1,φi[],2,)*100)&amp;"%, "&amp;(VLOOKUP(2,φi[],2,)*100)&amp;"% y "&amp;(VLOOKUP(3,φi[],2,)*100)&amp;"%"),NA())</f>
        <v>#N/A</v>
      </c>
      <c r="AK105" s="119">
        <v>0.12</v>
      </c>
      <c r="AL105" s="15">
        <v>0.13136999999999999</v>
      </c>
      <c r="AM105" s="48">
        <v>0.29855999999999999</v>
      </c>
      <c r="AN105" s="15">
        <v>1.2524739999999999</v>
      </c>
      <c r="AO105" s="51">
        <v>17.329044294469892</v>
      </c>
      <c r="AP105" s="140">
        <v>1977.3998222032785</v>
      </c>
      <c r="AQ105" s="143">
        <v>-0.3978027093947844</v>
      </c>
      <c r="AR105" s="51">
        <f ca="1"/>
        <v>595.25338421909237</v>
      </c>
      <c r="AS105" s="120">
        <v>0</v>
      </c>
      <c r="AT105" s="143">
        <v>-0.19696966094185181</v>
      </c>
      <c r="AU105" s="51">
        <f ca="1"/>
        <v>603.89974832210441</v>
      </c>
      <c r="AV105" s="120">
        <v>0</v>
      </c>
      <c r="AW105" s="143">
        <v>-9.7536195845989604E-2</v>
      </c>
      <c r="AX105" s="51">
        <f ca="1"/>
        <v>608.22293037361032</v>
      </c>
      <c r="AY105" s="128">
        <v>0</v>
      </c>
      <c r="AZ105" s="143" t="e">
        <v>#N/A</v>
      </c>
      <c r="BA105" s="51" t="e">
        <v>#N/A</v>
      </c>
      <c r="BB105" s="128">
        <v>0</v>
      </c>
      <c r="BC105" s="121" t="e">
        <f>IF(IF(ISNUMBER(Seccion1!AS105),Seccion1!AS105,0)+IF(ISNUMBER(Seccion1!AV105),Seccion1!AV105,0)+IF(ISNUMBER(Seccion1!AY105),Seccion1!AY105,0)&gt;0,Seccion1!AP105,NA())</f>
        <v>#N/A</v>
      </c>
      <c r="BD105" s="120" t="e">
        <f>IF(BC105&gt;0,CHOOSE(Seccion1!AS105+Seccion1!AV105+Seccion1!AY105,"cond. a HR = "&amp;(VLOOKUP(3,φi[],2,)*100)&amp;"%","cond. a HR = "&amp;(VLOOKUP(2,φi[],2,)*100)&amp;"% y "&amp;(VLOOKUP(3,φi[],2,)*100)&amp;"%","cond. a HR = "&amp;(VLOOKUP(1,φi[],2,)*100)&amp;"%, "&amp;(VLOOKUP(2,φi[],2,)*100)&amp;"% y "&amp;(VLOOKUP(3,φi[],2,)*100)&amp;"%"),NA())</f>
        <v>#N/A</v>
      </c>
    </row>
    <row r="106" spans="1:56" ht="15.75" x14ac:dyDescent="0.25">
      <c r="A106" s="162"/>
      <c r="B106" s="164" t="str">
        <f>IF(CÁLCULOS!B11="Interior",NA(),CÁLCULOS!B11)</f>
        <v>Superficie interior</v>
      </c>
      <c r="C106" s="160" t="str">
        <v/>
      </c>
      <c r="D106" s="161" t="str">
        <v/>
      </c>
      <c r="E106" s="161" t="str">
        <v/>
      </c>
      <c r="F106" s="220" t="str">
        <v/>
      </c>
      <c r="G106" s="153"/>
      <c r="H106" s="162"/>
      <c r="I106" s="164" t="str">
        <f>IF(CÁLCULOS!BG11="Interior",NA(),CÁLCULOS!BG11)</f>
        <v>Interfase 5</v>
      </c>
      <c r="J106" s="160" t="str">
        <v/>
      </c>
      <c r="K106" s="161" t="str">
        <v/>
      </c>
      <c r="L106" s="161" t="str">
        <v/>
      </c>
      <c r="M106" s="222" t="str">
        <v>X</v>
      </c>
      <c r="N106" s="153"/>
      <c r="P106" s="1">
        <v>5</v>
      </c>
      <c r="Q106" s="119">
        <v>0.01</v>
      </c>
      <c r="R106" s="15">
        <v>0.15210000000000001</v>
      </c>
      <c r="S106" s="15">
        <v>0.2</v>
      </c>
      <c r="T106" s="15">
        <v>8.8832339999999981</v>
      </c>
      <c r="U106" s="139">
        <v>17.551000481620772</v>
      </c>
      <c r="V106" s="140">
        <v>2005.3110909846605</v>
      </c>
      <c r="W106" s="143">
        <v>12.298357099136647</v>
      </c>
      <c r="X106" s="51">
        <f ca="1"/>
        <v>1427.4983081009464</v>
      </c>
      <c r="Y106" s="120">
        <v>0</v>
      </c>
      <c r="Z106" s="143">
        <v>14.489071414744854</v>
      </c>
      <c r="AA106" s="51">
        <f ca="1"/>
        <v>1647.1134324241689</v>
      </c>
      <c r="AB106" s="120">
        <v>0</v>
      </c>
      <c r="AC106" s="143">
        <v>15.488921561832724</v>
      </c>
      <c r="AD106" s="51">
        <f ca="1"/>
        <v>1756.9209945857801</v>
      </c>
      <c r="AE106" s="120">
        <v>0</v>
      </c>
      <c r="AF106" s="143" t="e">
        <v>#N/A</v>
      </c>
      <c r="AG106" s="51" t="e">
        <v>#N/A</v>
      </c>
      <c r="AH106" s="120">
        <v>0</v>
      </c>
      <c r="AI106" s="121" t="e">
        <f>IF(IF(ISNUMBER(Seccion1!Y106),Seccion1!Y106,0)+IF(ISNUMBER(Seccion1!AB106),Seccion1!AB106,0)+IF(ISNUMBER(Seccion1!AE106),Seccion1!AE106,0)&gt;0,Seccion1!V106,NA())</f>
        <v>#N/A</v>
      </c>
      <c r="AJ106" s="120" t="e">
        <f>IF(AI106&gt;0,CHOOSE(Seccion1!Y106+Seccion1!AB106+Seccion1!AE106,"cond. a HR = "&amp;(VLOOKUP(3,φi[],2,)*100)&amp;"%","cond. a HR = "&amp;(VLOOKUP(2,φi[],2,)*100)&amp;"% y "&amp;(VLOOKUP(3,φi[],2,)*100)&amp;"%","cond. a HR = "&amp;(VLOOKUP(1,φi[],2,)*100)&amp;"%, "&amp;(VLOOKUP(2,φi[],2,)*100)&amp;"% y "&amp;(VLOOKUP(3,φi[],2,)*100)&amp;"%"),NA())</f>
        <v>#N/A</v>
      </c>
      <c r="AK106" s="119">
        <v>2.0000000000000001E-4</v>
      </c>
      <c r="AL106" s="15">
        <v>0.13156999999999999</v>
      </c>
      <c r="AM106" s="48">
        <v>30.360000000000003</v>
      </c>
      <c r="AN106" s="15">
        <v>31.612474000000002</v>
      </c>
      <c r="AO106" s="51">
        <v>17.332509210396339</v>
      </c>
      <c r="AP106" s="140">
        <v>1977.8329119332379</v>
      </c>
      <c r="AQ106" s="143">
        <v>12.240319023391473</v>
      </c>
      <c r="AR106" s="51">
        <f ca="1"/>
        <v>1422.0516790179499</v>
      </c>
      <c r="AS106" s="120">
        <v>0</v>
      </c>
      <c r="AT106" s="143">
        <v>14.424977917869578</v>
      </c>
      <c r="AU106" s="51">
        <f ca="1"/>
        <v>1640.2861177376371</v>
      </c>
      <c r="AV106" s="120">
        <v>0</v>
      </c>
      <c r="AW106" s="143">
        <v>15.422256374369844</v>
      </c>
      <c r="AX106" s="51">
        <f ca="1"/>
        <v>1749.4033370974805</v>
      </c>
      <c r="AY106" s="128">
        <v>0</v>
      </c>
      <c r="AZ106" s="143" t="e">
        <v>#N/A</v>
      </c>
      <c r="BA106" s="51" t="e">
        <v>#N/A</v>
      </c>
      <c r="BB106" s="128">
        <v>1</v>
      </c>
      <c r="BC106" s="121" t="e">
        <f>IF(IF(ISNUMBER(Seccion1!AS106),Seccion1!AS106,0)+IF(ISNUMBER(Seccion1!AV106),Seccion1!AV106,0)+IF(ISNUMBER(Seccion1!AY106),Seccion1!AY106,0)&gt;0,Seccion1!AP106,NA())</f>
        <v>#N/A</v>
      </c>
      <c r="BD106" s="120" t="e">
        <f>IF(BC106&gt;0,CHOOSE(Seccion1!AS106+Seccion1!AV106+Seccion1!AY106,"cond. a HR = "&amp;(VLOOKUP(3,φi[],2,)*100)&amp;"%","cond. a HR = "&amp;(VLOOKUP(2,φi[],2,)*100)&amp;"% y "&amp;(VLOOKUP(3,φi[],2,)*100)&amp;"%","cond. a HR = "&amp;(VLOOKUP(1,φi[],2,)*100)&amp;"%, "&amp;(VLOOKUP(2,φi[],2,)*100)&amp;"% y "&amp;(VLOOKUP(3,φi[],2,)*100)&amp;"%"),NA())</f>
        <v>#N/A</v>
      </c>
    </row>
    <row r="107" spans="1:56" ht="15.75" x14ac:dyDescent="0.25">
      <c r="A107" s="162"/>
      <c r="B107" s="154" t="e">
        <f>IF(CÁLCULOS!B12="Interior",NA(),CÁLCULOS!B12)</f>
        <v>#N/A</v>
      </c>
      <c r="C107" s="160" t="e">
        <v>#N/A</v>
      </c>
      <c r="D107" s="161" t="e">
        <v>#N/A</v>
      </c>
      <c r="E107" s="161" t="e">
        <v>#N/A</v>
      </c>
      <c r="F107" s="221" t="e">
        <v>#N/A</v>
      </c>
      <c r="G107" s="153"/>
      <c r="H107" s="162"/>
      <c r="I107" s="154" t="str">
        <f>IF(CÁLCULOS!BG12="Interior",NA(),CÁLCULOS!BG12)</f>
        <v>Superficie interior</v>
      </c>
      <c r="J107" s="160" t="str">
        <v/>
      </c>
      <c r="K107" s="161" t="str">
        <v/>
      </c>
      <c r="L107" s="161" t="str">
        <v/>
      </c>
      <c r="M107" s="223" t="str">
        <v/>
      </c>
      <c r="N107" s="153"/>
      <c r="P107" s="1">
        <v>6</v>
      </c>
      <c r="Q107" s="119" t="e">
        <v>#N/A</v>
      </c>
      <c r="R107" s="15" t="e">
        <v>#N/A</v>
      </c>
      <c r="S107" s="15" t="e">
        <v>#N/A</v>
      </c>
      <c r="T107" s="15" t="e">
        <v>#N/A</v>
      </c>
      <c r="U107" s="139">
        <v>19.000000000000004</v>
      </c>
      <c r="V107" s="140">
        <v>2196.1512432322261</v>
      </c>
      <c r="W107" s="143" t="e">
        <v>#N/A</v>
      </c>
      <c r="X107" s="51" t="e">
        <f ca="1"/>
        <v>#N/A</v>
      </c>
      <c r="Y107" s="120" t="e">
        <v>#N/A</v>
      </c>
      <c r="Z107" s="143" t="e">
        <v>#N/A</v>
      </c>
      <c r="AA107" s="51" t="e">
        <f ca="1"/>
        <v>#N/A</v>
      </c>
      <c r="AB107" s="120" t="e">
        <v>#N/A</v>
      </c>
      <c r="AC107" s="143" t="e">
        <v>#N/A</v>
      </c>
      <c r="AD107" s="51" t="e">
        <f ca="1"/>
        <v>#N/A</v>
      </c>
      <c r="AE107" s="120" t="e">
        <v>#N/A</v>
      </c>
      <c r="AF107" s="143" t="e">
        <v>#N/A</v>
      </c>
      <c r="AG107" s="51" t="e">
        <v>#N/A</v>
      </c>
      <c r="AH107" s="120" t="e">
        <v>#N/A</v>
      </c>
      <c r="AI107" s="121" t="e">
        <f>IF(IF(ISNUMBER(Seccion1!Y107),Seccion1!Y107,0)+IF(ISNUMBER(Seccion1!AB107),Seccion1!AB107,0)+IF(ISNUMBER(Seccion1!AE107),Seccion1!AE107,0)&gt;0,Seccion1!V107,NA())</f>
        <v>#N/A</v>
      </c>
      <c r="AJ107" s="120" t="e">
        <f>IF(AI107&gt;0,CHOOSE(Seccion1!Y107+Seccion1!AB107+Seccion1!AE107,"cond. a HR = "&amp;(VLOOKUP(3,φi[],2,)*100)&amp;"%","cond. a HR = "&amp;(VLOOKUP(2,φi[],2,)*100)&amp;"% y "&amp;(VLOOKUP(3,φi[],2,)*100)&amp;"%","cond. a HR = "&amp;(VLOOKUP(1,φi[],2,)*100)&amp;"%, "&amp;(VLOOKUP(2,φi[],2,)*100)&amp;"% y "&amp;(VLOOKUP(3,φi[],2,)*100)&amp;"%"),NA())</f>
        <v>#N/A</v>
      </c>
      <c r="AK107" s="119">
        <v>0.01</v>
      </c>
      <c r="AL107" s="15">
        <v>0.14157</v>
      </c>
      <c r="AM107" s="48">
        <v>0.2</v>
      </c>
      <c r="AN107" s="15">
        <v>31.812474000000002</v>
      </c>
      <c r="AO107" s="51">
        <v>17.570722180339718</v>
      </c>
      <c r="AP107" s="140">
        <v>2007.8077252207772</v>
      </c>
      <c r="AQ107" s="143">
        <v>12.298357099136647</v>
      </c>
      <c r="AR107" s="51">
        <f ca="1"/>
        <v>1427.4983081009464</v>
      </c>
      <c r="AS107" s="120">
        <v>0</v>
      </c>
      <c r="AT107" s="143">
        <v>14.489071414744854</v>
      </c>
      <c r="AU107" s="51">
        <f ca="1"/>
        <v>1647.1134324241689</v>
      </c>
      <c r="AV107" s="120">
        <v>0</v>
      </c>
      <c r="AW107" s="143">
        <v>15.488921561832724</v>
      </c>
      <c r="AX107" s="51">
        <f ca="1"/>
        <v>1756.9209945857801</v>
      </c>
      <c r="AY107" s="128">
        <v>0</v>
      </c>
      <c r="AZ107" s="143" t="e">
        <v>#N/A</v>
      </c>
      <c r="BA107" s="51" t="e">
        <v>#N/A</v>
      </c>
      <c r="BB107" s="128">
        <v>0</v>
      </c>
      <c r="BC107" s="121" t="e">
        <f>IF(IF(ISNUMBER(Seccion1!AS107),Seccion1!AS107,0)+IF(ISNUMBER(Seccion1!AV107),Seccion1!AV107,0)+IF(ISNUMBER(Seccion1!AY107),Seccion1!AY107,0)&gt;0,Seccion1!AP107,NA())</f>
        <v>#N/A</v>
      </c>
      <c r="BD107" s="120" t="e">
        <f>IF(BC107&gt;0,CHOOSE(Seccion1!AS107+Seccion1!AV107+Seccion1!AY107,"cond. a HR = "&amp;(VLOOKUP(3,φi[],2,)*100)&amp;"%","cond. a HR = "&amp;(VLOOKUP(2,φi[],2,)*100)&amp;"% y "&amp;(VLOOKUP(3,φi[],2,)*100)&amp;"%","cond. a HR = "&amp;(VLOOKUP(1,φi[],2,)*100)&amp;"%, "&amp;(VLOOKUP(2,φi[],2,)*100)&amp;"% y "&amp;(VLOOKUP(3,φi[],2,)*100)&amp;"%"),NA())</f>
        <v>#N/A</v>
      </c>
    </row>
    <row r="108" spans="1:56" ht="15.75" x14ac:dyDescent="0.25">
      <c r="A108" s="162"/>
      <c r="B108" s="164" t="e">
        <f>IF(CÁLCULOS!B13="Interior",NA(),CÁLCULOS!B13)</f>
        <v>#N/A</v>
      </c>
      <c r="C108" s="160" t="e">
        <v>#N/A</v>
      </c>
      <c r="D108" s="161" t="e">
        <v>#N/A</v>
      </c>
      <c r="E108" s="161" t="e">
        <v>#N/A</v>
      </c>
      <c r="F108" s="220" t="e">
        <v>#N/A</v>
      </c>
      <c r="G108" s="153"/>
      <c r="H108" s="162"/>
      <c r="I108" s="164" t="e">
        <f>IF(CÁLCULOS!BG13="Interior",NA(),CÁLCULOS!BG13)</f>
        <v>#N/A</v>
      </c>
      <c r="J108" s="160" t="e">
        <v>#N/A</v>
      </c>
      <c r="K108" s="161" t="e">
        <v>#N/A</v>
      </c>
      <c r="L108" s="161" t="e">
        <v>#N/A</v>
      </c>
      <c r="M108" s="222" t="e">
        <v>#N/A</v>
      </c>
      <c r="N108" s="153"/>
      <c r="P108" s="1">
        <v>7</v>
      </c>
      <c r="Q108" s="119" t="e">
        <v>#N/A</v>
      </c>
      <c r="R108" s="15" t="e">
        <v>#N/A</v>
      </c>
      <c r="S108" s="15" t="e">
        <v>#N/A</v>
      </c>
      <c r="T108" s="15" t="e">
        <v>#N/A</v>
      </c>
      <c r="U108" s="139" t="e">
        <v>#N/A</v>
      </c>
      <c r="V108" s="140" t="e">
        <v>#N/A</v>
      </c>
      <c r="W108" s="143" t="e">
        <v>#N/A</v>
      </c>
      <c r="X108" s="51" t="e">
        <f ca="1"/>
        <v>#N/A</v>
      </c>
      <c r="Y108" s="120" t="e">
        <v>#N/A</v>
      </c>
      <c r="Z108" s="143" t="e">
        <v>#N/A</v>
      </c>
      <c r="AA108" s="51" t="e">
        <f ca="1"/>
        <v>#N/A</v>
      </c>
      <c r="AB108" s="120" t="e">
        <v>#N/A</v>
      </c>
      <c r="AC108" s="143" t="e">
        <v>#N/A</v>
      </c>
      <c r="AD108" s="51" t="e">
        <f ca="1"/>
        <v>#N/A</v>
      </c>
      <c r="AE108" s="120" t="e">
        <v>#N/A</v>
      </c>
      <c r="AF108" s="143" t="e">
        <v>#N/A</v>
      </c>
      <c r="AG108" s="51" t="e">
        <v>#N/A</v>
      </c>
      <c r="AH108" s="120" t="e">
        <v>#N/A</v>
      </c>
      <c r="AI108" s="121" t="e">
        <f>IF(IF(ISNUMBER(Seccion1!Y108),Seccion1!Y108,0)+IF(ISNUMBER(Seccion1!AB108),Seccion1!AB108,0)+IF(ISNUMBER(Seccion1!AE108),Seccion1!AE108,0)&gt;0,Seccion1!V108,NA())</f>
        <v>#N/A</v>
      </c>
      <c r="AJ108" s="120" t="e">
        <f>IF(AI108&gt;0,CHOOSE(Seccion1!Y108+Seccion1!AB108+Seccion1!AE108,"cond. a HR = "&amp;(VLOOKUP(3,φi[],2,)*100)&amp;"%","cond. a HR = "&amp;(VLOOKUP(2,φi[],2,)*100)&amp;"% y "&amp;(VLOOKUP(3,φi[],2,)*100)&amp;"%","cond. a HR = "&amp;(VLOOKUP(1,φi[],2,)*100)&amp;"%, "&amp;(VLOOKUP(2,φi[],2,)*100)&amp;"% y "&amp;(VLOOKUP(3,φi[],2,)*100)&amp;"%"),NA())</f>
        <v>#N/A</v>
      </c>
      <c r="AK108" s="119" t="e">
        <v>#N/A</v>
      </c>
      <c r="AL108" s="15" t="e">
        <v>#N/A</v>
      </c>
      <c r="AM108" s="48" t="e">
        <v>#N/A</v>
      </c>
      <c r="AN108" s="15" t="e">
        <v>#N/A</v>
      </c>
      <c r="AO108" s="51">
        <v>19</v>
      </c>
      <c r="AP108" s="140">
        <v>2196.1512432322252</v>
      </c>
      <c r="AQ108" s="143" t="e">
        <v>#N/A</v>
      </c>
      <c r="AR108" s="51" t="e">
        <f ca="1"/>
        <v>#N/A</v>
      </c>
      <c r="AS108" s="120" t="e">
        <v>#N/A</v>
      </c>
      <c r="AT108" s="143" t="e">
        <v>#N/A</v>
      </c>
      <c r="AU108" s="51" t="e">
        <f ca="1"/>
        <v>#N/A</v>
      </c>
      <c r="AV108" s="120" t="e">
        <v>#N/A</v>
      </c>
      <c r="AW108" s="143" t="e">
        <v>#N/A</v>
      </c>
      <c r="AX108" s="51" t="e">
        <f ca="1"/>
        <v>#N/A</v>
      </c>
      <c r="AY108" s="128" t="e">
        <v>#N/A</v>
      </c>
      <c r="AZ108" s="143" t="e">
        <v>#N/A</v>
      </c>
      <c r="BA108" s="51" t="e">
        <v>#N/A</v>
      </c>
      <c r="BB108" s="128" t="e">
        <v>#N/A</v>
      </c>
      <c r="BC108" s="121" t="e">
        <f>IF(IF(ISNUMBER(Seccion1!AS108),Seccion1!AS108,0)+IF(ISNUMBER(Seccion1!AV108),Seccion1!AV108,0)+IF(ISNUMBER(Seccion1!AY108),Seccion1!AY108,0)&gt;0,Seccion1!AP108,NA())</f>
        <v>#N/A</v>
      </c>
      <c r="BD108" s="120" t="e">
        <f>IF(BC108&gt;0,CHOOSE(Seccion1!AS108+Seccion1!AV108+Seccion1!AY108,"cond. a HR = "&amp;(VLOOKUP(3,φi[],2,)*100)&amp;"%","cond. a HR = "&amp;(VLOOKUP(2,φi[],2,)*100)&amp;"% y "&amp;(VLOOKUP(3,φi[],2,)*100)&amp;"%","cond. a HR = "&amp;(VLOOKUP(1,φi[],2,)*100)&amp;"%, "&amp;(VLOOKUP(2,φi[],2,)*100)&amp;"% y "&amp;(VLOOKUP(3,φi[],2,)*100)&amp;"%"),NA())</f>
        <v>#N/A</v>
      </c>
    </row>
    <row r="109" spans="1:56" ht="15.75" x14ac:dyDescent="0.25">
      <c r="A109" s="162"/>
      <c r="B109" s="154" t="e">
        <f>IF(CÁLCULOS!B14="Interior",NA(),CÁLCULOS!B14)</f>
        <v>#N/A</v>
      </c>
      <c r="C109" s="160" t="e">
        <v>#N/A</v>
      </c>
      <c r="D109" s="161" t="e">
        <v>#N/A</v>
      </c>
      <c r="E109" s="161" t="e">
        <v>#N/A</v>
      </c>
      <c r="F109" s="221" t="e">
        <v>#N/A</v>
      </c>
      <c r="G109" s="153"/>
      <c r="H109" s="162"/>
      <c r="I109" s="154" t="e">
        <f>IF(CÁLCULOS!BG14="Interior",NA(),CÁLCULOS!BG14)</f>
        <v>#N/A</v>
      </c>
      <c r="J109" s="160" t="e">
        <v>#N/A</v>
      </c>
      <c r="K109" s="161" t="e">
        <v>#N/A</v>
      </c>
      <c r="L109" s="161" t="e">
        <v>#N/A</v>
      </c>
      <c r="M109" s="223" t="e">
        <v>#N/A</v>
      </c>
      <c r="N109" s="153"/>
      <c r="P109" s="1">
        <v>8</v>
      </c>
      <c r="Q109" s="119" t="e">
        <v>#N/A</v>
      </c>
      <c r="R109" s="15" t="e">
        <v>#N/A</v>
      </c>
      <c r="S109" s="15" t="e">
        <v>#N/A</v>
      </c>
      <c r="T109" s="15" t="e">
        <v>#N/A</v>
      </c>
      <c r="U109" s="139" t="e">
        <v>#N/A</v>
      </c>
      <c r="V109" s="140" t="e">
        <v>#N/A</v>
      </c>
      <c r="W109" s="143" t="e">
        <v>#N/A</v>
      </c>
      <c r="X109" s="51" t="e">
        <f ca="1"/>
        <v>#N/A</v>
      </c>
      <c r="Y109" s="120" t="e">
        <v>#N/A</v>
      </c>
      <c r="Z109" s="143" t="e">
        <v>#N/A</v>
      </c>
      <c r="AA109" s="51" t="e">
        <f ca="1"/>
        <v>#N/A</v>
      </c>
      <c r="AB109" s="120" t="e">
        <v>#N/A</v>
      </c>
      <c r="AC109" s="143" t="e">
        <v>#N/A</v>
      </c>
      <c r="AD109" s="51" t="e">
        <f ca="1"/>
        <v>#N/A</v>
      </c>
      <c r="AE109" s="120" t="e">
        <v>#N/A</v>
      </c>
      <c r="AF109" s="143" t="e">
        <v>#N/A</v>
      </c>
      <c r="AG109" s="51" t="e">
        <v>#N/A</v>
      </c>
      <c r="AH109" s="120" t="e">
        <v>#N/A</v>
      </c>
      <c r="AI109" s="121" t="e">
        <f>IF(IF(ISNUMBER(Seccion1!Y109),Seccion1!Y109,0)+IF(ISNUMBER(Seccion1!AB109),Seccion1!AB109,0)+IF(ISNUMBER(Seccion1!AE109),Seccion1!AE109,0)&gt;0,Seccion1!V109,NA())</f>
        <v>#N/A</v>
      </c>
      <c r="AJ109" s="120" t="e">
        <f>IF(AI109&gt;0,CHOOSE(Seccion1!Y109+Seccion1!AB109+Seccion1!AE109,"cond. a HR = "&amp;(VLOOKUP(3,φi[],2,)*100)&amp;"%","cond. a HR = "&amp;(VLOOKUP(2,φi[],2,)*100)&amp;"% y "&amp;(VLOOKUP(3,φi[],2,)*100)&amp;"%","cond. a HR = "&amp;(VLOOKUP(1,φi[],2,)*100)&amp;"%, "&amp;(VLOOKUP(2,φi[],2,)*100)&amp;"% y "&amp;(VLOOKUP(3,φi[],2,)*100)&amp;"%"),NA())</f>
        <v>#N/A</v>
      </c>
      <c r="AK109" s="119" t="e">
        <v>#N/A</v>
      </c>
      <c r="AL109" s="15" t="e">
        <v>#N/A</v>
      </c>
      <c r="AM109" s="48" t="e">
        <v>#N/A</v>
      </c>
      <c r="AN109" s="15" t="e">
        <v>#N/A</v>
      </c>
      <c r="AO109" s="51" t="e">
        <v>#N/A</v>
      </c>
      <c r="AP109" s="140" t="e">
        <v>#N/A</v>
      </c>
      <c r="AQ109" s="143" t="e">
        <v>#N/A</v>
      </c>
      <c r="AR109" s="51" t="e">
        <f ca="1"/>
        <v>#N/A</v>
      </c>
      <c r="AS109" s="120" t="e">
        <v>#N/A</v>
      </c>
      <c r="AT109" s="143" t="e">
        <v>#N/A</v>
      </c>
      <c r="AU109" s="51" t="e">
        <f ca="1"/>
        <v>#N/A</v>
      </c>
      <c r="AV109" s="120" t="e">
        <v>#N/A</v>
      </c>
      <c r="AW109" s="143" t="e">
        <v>#N/A</v>
      </c>
      <c r="AX109" s="51" t="e">
        <f ca="1"/>
        <v>#N/A</v>
      </c>
      <c r="AY109" s="128" t="e">
        <v>#N/A</v>
      </c>
      <c r="AZ109" s="143" t="e">
        <v>#N/A</v>
      </c>
      <c r="BA109" s="51" t="e">
        <v>#N/A</v>
      </c>
      <c r="BB109" s="128" t="e">
        <v>#N/A</v>
      </c>
      <c r="BC109" s="121" t="e">
        <f>IF(IF(ISNUMBER(Seccion1!AS109),Seccion1!AS109,0)+IF(ISNUMBER(Seccion1!AV109),Seccion1!AV109,0)+IF(ISNUMBER(Seccion1!AY109),Seccion1!AY109,0)&gt;0,Seccion1!AP109,NA())</f>
        <v>#N/A</v>
      </c>
      <c r="BD109" s="120" t="e">
        <f>IF(BC109&gt;0,CHOOSE(Seccion1!AS109+Seccion1!AV109+Seccion1!AY109,"cond. a HR = "&amp;(VLOOKUP(3,φi[],2,)*100)&amp;"%","cond. a HR = "&amp;(VLOOKUP(2,φi[],2,)*100)&amp;"% y "&amp;(VLOOKUP(3,φi[],2,)*100)&amp;"%","cond. a HR = "&amp;(VLOOKUP(1,φi[],2,)*100)&amp;"%, "&amp;(VLOOKUP(2,φi[],2,)*100)&amp;"% y "&amp;(VLOOKUP(3,φi[],2,)*100)&amp;"%"),NA())</f>
        <v>#N/A</v>
      </c>
    </row>
    <row r="110" spans="1:56" ht="15.75" x14ac:dyDescent="0.25">
      <c r="A110" s="162"/>
      <c r="B110" s="164" t="e">
        <f>IF(CÁLCULOS!B15="Interior",NA(),CÁLCULOS!B15)</f>
        <v>#N/A</v>
      </c>
      <c r="C110" s="160" t="e">
        <v>#N/A</v>
      </c>
      <c r="D110" s="161" t="e">
        <v>#N/A</v>
      </c>
      <c r="E110" s="161" t="e">
        <v>#N/A</v>
      </c>
      <c r="F110" s="220" t="e">
        <v>#N/A</v>
      </c>
      <c r="G110" s="153"/>
      <c r="H110" s="162"/>
      <c r="I110" s="164" t="e">
        <f>IF(CÁLCULOS!BG15="Interior",NA(),CÁLCULOS!BG15)</f>
        <v>#N/A</v>
      </c>
      <c r="J110" s="160" t="e">
        <v>#N/A</v>
      </c>
      <c r="K110" s="161" t="e">
        <v>#N/A</v>
      </c>
      <c r="L110" s="161" t="e">
        <v>#N/A</v>
      </c>
      <c r="M110" s="222" t="e">
        <v>#N/A</v>
      </c>
      <c r="N110" s="153"/>
      <c r="P110" s="1">
        <v>9</v>
      </c>
      <c r="Q110" s="119" t="e">
        <v>#N/A</v>
      </c>
      <c r="R110" s="15" t="e">
        <v>#N/A</v>
      </c>
      <c r="S110" s="15" t="e">
        <v>#N/A</v>
      </c>
      <c r="T110" s="15" t="e">
        <v>#N/A</v>
      </c>
      <c r="U110" s="139" t="e">
        <v>#N/A</v>
      </c>
      <c r="V110" s="140" t="e">
        <v>#N/A</v>
      </c>
      <c r="W110" s="143" t="e">
        <v>#N/A</v>
      </c>
      <c r="X110" s="51" t="e">
        <f ca="1"/>
        <v>#N/A</v>
      </c>
      <c r="Y110" s="120" t="e">
        <v>#N/A</v>
      </c>
      <c r="Z110" s="143" t="e">
        <v>#N/A</v>
      </c>
      <c r="AA110" s="51" t="e">
        <f ca="1"/>
        <v>#N/A</v>
      </c>
      <c r="AB110" s="120" t="e">
        <v>#N/A</v>
      </c>
      <c r="AC110" s="143" t="e">
        <v>#N/A</v>
      </c>
      <c r="AD110" s="51" t="e">
        <f ca="1"/>
        <v>#N/A</v>
      </c>
      <c r="AE110" s="120" t="e">
        <v>#N/A</v>
      </c>
      <c r="AF110" s="143" t="e">
        <v>#N/A</v>
      </c>
      <c r="AG110" s="51" t="e">
        <v>#N/A</v>
      </c>
      <c r="AH110" s="120" t="e">
        <v>#N/A</v>
      </c>
      <c r="AI110" s="121" t="e">
        <f>IF(IF(ISNUMBER(Seccion1!Y110),Seccion1!Y110,0)+IF(ISNUMBER(Seccion1!AB110),Seccion1!AB110,0)+IF(ISNUMBER(Seccion1!AE110),Seccion1!AE110,0)&gt;0,Seccion1!V110,NA())</f>
        <v>#N/A</v>
      </c>
      <c r="AJ110" s="120" t="e">
        <f>IF(AI110&gt;0,CHOOSE(Seccion1!Y110+Seccion1!AB110+Seccion1!AE110,"cond. a HR = "&amp;(VLOOKUP(3,φi[],2,)*100)&amp;"%","cond. a HR = "&amp;(VLOOKUP(2,φi[],2,)*100)&amp;"% y "&amp;(VLOOKUP(3,φi[],2,)*100)&amp;"%","cond. a HR = "&amp;(VLOOKUP(1,φi[],2,)*100)&amp;"%, "&amp;(VLOOKUP(2,φi[],2,)*100)&amp;"% y "&amp;(VLOOKUP(3,φi[],2,)*100)&amp;"%"),NA())</f>
        <v>#N/A</v>
      </c>
      <c r="AK110" s="119" t="e">
        <v>#N/A</v>
      </c>
      <c r="AL110" s="15" t="e">
        <v>#N/A</v>
      </c>
      <c r="AM110" s="48" t="e">
        <v>#N/A</v>
      </c>
      <c r="AN110" s="15" t="e">
        <v>#N/A</v>
      </c>
      <c r="AO110" s="51" t="e">
        <v>#N/A</v>
      </c>
      <c r="AP110" s="140" t="e">
        <v>#N/A</v>
      </c>
      <c r="AQ110" s="143" t="e">
        <v>#N/A</v>
      </c>
      <c r="AR110" s="51" t="e">
        <f ca="1"/>
        <v>#N/A</v>
      </c>
      <c r="AS110" s="120" t="e">
        <v>#N/A</v>
      </c>
      <c r="AT110" s="143" t="e">
        <v>#N/A</v>
      </c>
      <c r="AU110" s="51" t="e">
        <f ca="1"/>
        <v>#N/A</v>
      </c>
      <c r="AV110" s="120" t="e">
        <v>#N/A</v>
      </c>
      <c r="AW110" s="143" t="e">
        <v>#N/A</v>
      </c>
      <c r="AX110" s="51" t="e">
        <f ca="1"/>
        <v>#N/A</v>
      </c>
      <c r="AY110" s="128" t="e">
        <v>#N/A</v>
      </c>
      <c r="AZ110" s="143" t="e">
        <v>#N/A</v>
      </c>
      <c r="BA110" s="51" t="e">
        <v>#N/A</v>
      </c>
      <c r="BB110" s="128" t="e">
        <v>#N/A</v>
      </c>
      <c r="BC110" s="121" t="e">
        <f>IF(IF(ISNUMBER(Seccion1!AS110),Seccion1!AS110,0)+IF(ISNUMBER(Seccion1!AV110),Seccion1!AV110,0)+IF(ISNUMBER(Seccion1!AY110),Seccion1!AY110,0)&gt;0,Seccion1!AP110,NA())</f>
        <v>#N/A</v>
      </c>
      <c r="BD110" s="120" t="e">
        <f>IF(BC110&gt;0,CHOOSE(Seccion1!AS110+Seccion1!AV110+Seccion1!AY110,"cond. a HR = "&amp;(VLOOKUP(3,φi[],2,)*100)&amp;"%","cond. a HR = "&amp;(VLOOKUP(2,φi[],2,)*100)&amp;"% y "&amp;(VLOOKUP(3,φi[],2,)*100)&amp;"%","cond. a HR = "&amp;(VLOOKUP(1,φi[],2,)*100)&amp;"%, "&amp;(VLOOKUP(2,φi[],2,)*100)&amp;"% y "&amp;(VLOOKUP(3,φi[],2,)*100)&amp;"%"),NA())</f>
        <v>#N/A</v>
      </c>
    </row>
    <row r="111" spans="1:56" ht="15.75" x14ac:dyDescent="0.25">
      <c r="A111" s="162"/>
      <c r="B111" s="154" t="e">
        <f>IF(CÁLCULOS!B16="Interior",NA(),CÁLCULOS!B16)</f>
        <v>#N/A</v>
      </c>
      <c r="C111" s="160" t="e">
        <v>#N/A</v>
      </c>
      <c r="D111" s="161" t="e">
        <v>#N/A</v>
      </c>
      <c r="E111" s="161" t="e">
        <v>#N/A</v>
      </c>
      <c r="F111" s="221" t="e">
        <v>#N/A</v>
      </c>
      <c r="G111" s="153"/>
      <c r="H111" s="162"/>
      <c r="I111" s="154" t="e">
        <f>IF(CÁLCULOS!BG16="Interior",NA(),CÁLCULOS!BG16)</f>
        <v>#N/A</v>
      </c>
      <c r="J111" s="160" t="e">
        <v>#N/A</v>
      </c>
      <c r="K111" s="161" t="e">
        <v>#N/A</v>
      </c>
      <c r="L111" s="161" t="e">
        <v>#N/A</v>
      </c>
      <c r="M111" s="223" t="e">
        <v>#N/A</v>
      </c>
      <c r="N111" s="153"/>
      <c r="P111" s="1">
        <v>10</v>
      </c>
      <c r="Q111" s="119" t="e">
        <v>#N/A</v>
      </c>
      <c r="R111" s="15" t="e">
        <v>#N/A</v>
      </c>
      <c r="S111" s="15" t="e">
        <v>#N/A</v>
      </c>
      <c r="T111" s="15" t="e">
        <v>#N/A</v>
      </c>
      <c r="U111" s="139" t="e">
        <v>#N/A</v>
      </c>
      <c r="V111" s="140" t="e">
        <v>#N/A</v>
      </c>
      <c r="W111" s="143" t="e">
        <v>#N/A</v>
      </c>
      <c r="X111" s="51" t="e">
        <f ca="1"/>
        <v>#N/A</v>
      </c>
      <c r="Y111" s="120" t="e">
        <v>#N/A</v>
      </c>
      <c r="Z111" s="143" t="e">
        <v>#N/A</v>
      </c>
      <c r="AA111" s="51" t="e">
        <f ca="1"/>
        <v>#N/A</v>
      </c>
      <c r="AB111" s="120" t="e">
        <v>#N/A</v>
      </c>
      <c r="AC111" s="143" t="e">
        <v>#N/A</v>
      </c>
      <c r="AD111" s="51" t="e">
        <f ca="1"/>
        <v>#N/A</v>
      </c>
      <c r="AE111" s="120" t="e">
        <v>#N/A</v>
      </c>
      <c r="AF111" s="143" t="e">
        <v>#N/A</v>
      </c>
      <c r="AG111" s="51" t="e">
        <v>#N/A</v>
      </c>
      <c r="AH111" s="120" t="e">
        <v>#N/A</v>
      </c>
      <c r="AI111" s="121" t="e">
        <f>IF(IF(ISNUMBER(Seccion1!Y111),Seccion1!Y111,0)+IF(ISNUMBER(Seccion1!AB111),Seccion1!AB111,0)+IF(ISNUMBER(Seccion1!AE111),Seccion1!AE111,0)&gt;0,Seccion1!V111,NA())</f>
        <v>#N/A</v>
      </c>
      <c r="AJ111" s="120" t="e">
        <f>IF(AI111&gt;0,CHOOSE(Seccion1!Y111+Seccion1!AB111+Seccion1!AE111,"cond. a HR = "&amp;(VLOOKUP(3,φi[],2,)*100)&amp;"%","cond. a HR = "&amp;(VLOOKUP(2,φi[],2,)*100)&amp;"% y "&amp;(VLOOKUP(3,φi[],2,)*100)&amp;"%","cond. a HR = "&amp;(VLOOKUP(1,φi[],2,)*100)&amp;"%, "&amp;(VLOOKUP(2,φi[],2,)*100)&amp;"% y "&amp;(VLOOKUP(3,φi[],2,)*100)&amp;"%"),NA())</f>
        <v>#N/A</v>
      </c>
      <c r="AK111" s="119" t="e">
        <v>#N/A</v>
      </c>
      <c r="AL111" s="15" t="e">
        <v>#N/A</v>
      </c>
      <c r="AM111" s="48" t="e">
        <v>#N/A</v>
      </c>
      <c r="AN111" s="15" t="e">
        <v>#N/A</v>
      </c>
      <c r="AO111" s="51" t="e">
        <v>#N/A</v>
      </c>
      <c r="AP111" s="140" t="e">
        <v>#N/A</v>
      </c>
      <c r="AQ111" s="143" t="e">
        <v>#N/A</v>
      </c>
      <c r="AR111" s="51" t="e">
        <f ca="1"/>
        <v>#N/A</v>
      </c>
      <c r="AS111" s="120" t="e">
        <v>#N/A</v>
      </c>
      <c r="AT111" s="143" t="e">
        <v>#N/A</v>
      </c>
      <c r="AU111" s="51" t="e">
        <f ca="1"/>
        <v>#N/A</v>
      </c>
      <c r="AV111" s="120" t="e">
        <v>#N/A</v>
      </c>
      <c r="AW111" s="143" t="e">
        <v>#N/A</v>
      </c>
      <c r="AX111" s="51" t="e">
        <f ca="1"/>
        <v>#N/A</v>
      </c>
      <c r="AY111" s="128" t="e">
        <v>#N/A</v>
      </c>
      <c r="AZ111" s="143" t="e">
        <v>#N/A</v>
      </c>
      <c r="BA111" s="51" t="e">
        <v>#N/A</v>
      </c>
      <c r="BB111" s="128" t="e">
        <v>#N/A</v>
      </c>
      <c r="BC111" s="121" t="e">
        <f>IF(IF(ISNUMBER(Seccion1!AS111),Seccion1!AS111,0)+IF(ISNUMBER(Seccion1!AV111),Seccion1!AV111,0)+IF(ISNUMBER(Seccion1!AY111),Seccion1!AY111,0)&gt;0,Seccion1!AP111,NA())</f>
        <v>#N/A</v>
      </c>
      <c r="BD111" s="120" t="e">
        <f>IF(BC111&gt;0,CHOOSE(Seccion1!AS111+Seccion1!AV111+Seccion1!AY111,"cond. a HR = "&amp;(VLOOKUP(3,φi[],2,)*100)&amp;"%","cond. a HR = "&amp;(VLOOKUP(2,φi[],2,)*100)&amp;"% y "&amp;(VLOOKUP(3,φi[],2,)*100)&amp;"%","cond. a HR = "&amp;(VLOOKUP(1,φi[],2,)*100)&amp;"%, "&amp;(VLOOKUP(2,φi[],2,)*100)&amp;"% y "&amp;(VLOOKUP(3,φi[],2,)*100)&amp;"%"),NA())</f>
        <v>#N/A</v>
      </c>
    </row>
    <row r="112" spans="1:56" ht="15.75" x14ac:dyDescent="0.25">
      <c r="A112" s="162"/>
      <c r="B112" s="165" t="e">
        <f>IF(CÁLCULOS!B17="Interior",NA(),CÁLCULOS!B17)</f>
        <v>#N/A</v>
      </c>
      <c r="C112" s="160" t="e">
        <v>#N/A</v>
      </c>
      <c r="D112" s="161" t="e">
        <v>#N/A</v>
      </c>
      <c r="E112" s="161" t="e">
        <v>#N/A</v>
      </c>
      <c r="F112" s="221" t="e">
        <v>#N/A</v>
      </c>
      <c r="G112" s="153"/>
      <c r="H112" s="162"/>
      <c r="I112" s="165" t="e">
        <f>IF(CÁLCULOS!BG17="Interior",NA(),CÁLCULOS!BG17)</f>
        <v>#N/A</v>
      </c>
      <c r="J112" s="160" t="e">
        <v>#N/A</v>
      </c>
      <c r="K112" s="161" t="e">
        <v>#N/A</v>
      </c>
      <c r="L112" s="161" t="e">
        <v>#N/A</v>
      </c>
      <c r="M112" s="223" t="e">
        <v>#N/A</v>
      </c>
      <c r="N112" s="153"/>
      <c r="P112" s="1">
        <v>11</v>
      </c>
      <c r="Q112" s="119" t="e">
        <v>#N/A</v>
      </c>
      <c r="R112" s="15" t="e">
        <v>#N/A</v>
      </c>
      <c r="S112" s="15" t="e">
        <v>#N/A</v>
      </c>
      <c r="T112" s="15" t="e">
        <v>#N/A</v>
      </c>
      <c r="U112" s="139" t="e">
        <v>#N/A</v>
      </c>
      <c r="V112" s="140" t="e">
        <v>#N/A</v>
      </c>
      <c r="W112" s="143" t="e">
        <v>#N/A</v>
      </c>
      <c r="X112" s="51" t="e">
        <f ca="1"/>
        <v>#N/A</v>
      </c>
      <c r="Y112" s="120" t="e">
        <v>#N/A</v>
      </c>
      <c r="Z112" s="143" t="e">
        <v>#N/A</v>
      </c>
      <c r="AA112" s="51" t="e">
        <f ca="1"/>
        <v>#N/A</v>
      </c>
      <c r="AB112" s="120" t="e">
        <v>#N/A</v>
      </c>
      <c r="AC112" s="143" t="e">
        <v>#N/A</v>
      </c>
      <c r="AD112" s="51" t="e">
        <f ca="1"/>
        <v>#N/A</v>
      </c>
      <c r="AE112" s="120" t="e">
        <v>#N/A</v>
      </c>
      <c r="AF112" s="143" t="e">
        <v>#N/A</v>
      </c>
      <c r="AG112" s="51" t="e">
        <v>#N/A</v>
      </c>
      <c r="AH112" s="120" t="e">
        <v>#N/A</v>
      </c>
      <c r="AI112" s="121" t="e">
        <f>IF(IF(ISNUMBER(Seccion1!Y112),Seccion1!Y112,0)+IF(ISNUMBER(Seccion1!AB112),Seccion1!AB112,0)+IF(ISNUMBER(Seccion1!AE112),Seccion1!AE112,0)&gt;0,Seccion1!V112,NA())</f>
        <v>#N/A</v>
      </c>
      <c r="AJ112" s="120" t="e">
        <f>IF(AI112&gt;0,CHOOSE(Seccion1!Y112+Seccion1!AB112+Seccion1!AE112,"cond. a HR = "&amp;(VLOOKUP(3,φi[],2,)*100)&amp;"%","cond. a HR = "&amp;(VLOOKUP(2,φi[],2,)*100)&amp;"% y "&amp;(VLOOKUP(3,φi[],2,)*100)&amp;"%","cond. a HR = "&amp;(VLOOKUP(1,φi[],2,)*100)&amp;"%, "&amp;(VLOOKUP(2,φi[],2,)*100)&amp;"% y "&amp;(VLOOKUP(3,φi[],2,)*100)&amp;"%"),NA())</f>
        <v>#N/A</v>
      </c>
      <c r="AK112" s="119" t="e">
        <v>#N/A</v>
      </c>
      <c r="AL112" s="15" t="e">
        <v>#N/A</v>
      </c>
      <c r="AM112" s="48" t="e">
        <v>#N/A</v>
      </c>
      <c r="AN112" s="15" t="e">
        <v>#N/A</v>
      </c>
      <c r="AO112" s="51" t="e">
        <v>#N/A</v>
      </c>
      <c r="AP112" s="140" t="e">
        <v>#N/A</v>
      </c>
      <c r="AQ112" s="143" t="e">
        <v>#N/A</v>
      </c>
      <c r="AR112" s="51" t="e">
        <f ca="1"/>
        <v>#N/A</v>
      </c>
      <c r="AS112" s="120" t="e">
        <v>#N/A</v>
      </c>
      <c r="AT112" s="143" t="e">
        <v>#N/A</v>
      </c>
      <c r="AU112" s="51" t="e">
        <f ca="1"/>
        <v>#N/A</v>
      </c>
      <c r="AV112" s="120" t="e">
        <v>#N/A</v>
      </c>
      <c r="AW112" s="143" t="e">
        <v>#N/A</v>
      </c>
      <c r="AX112" s="51" t="e">
        <f ca="1"/>
        <v>#N/A</v>
      </c>
      <c r="AY112" s="128" t="e">
        <v>#N/A</v>
      </c>
      <c r="AZ112" s="143" t="e">
        <v>#N/A</v>
      </c>
      <c r="BA112" s="51" t="e">
        <v>#N/A</v>
      </c>
      <c r="BB112" s="128" t="e">
        <v>#N/A</v>
      </c>
      <c r="BC112" s="121" t="e">
        <f>IF(IF(ISNUMBER(Seccion1!AS112),Seccion1!AS112,0)+IF(ISNUMBER(Seccion1!AV112),Seccion1!AV112,0)+IF(ISNUMBER(Seccion1!AY112),Seccion1!AY112,0)&gt;0,Seccion1!AP112,NA())</f>
        <v>#N/A</v>
      </c>
      <c r="BD112" s="120" t="e">
        <f>IF(BC112&gt;0,CHOOSE(Seccion1!AS112+Seccion1!AV112+Seccion1!AY112,"cond. a HR = "&amp;(VLOOKUP(3,φi[],2,)*100)&amp;"%","cond. a HR = "&amp;(VLOOKUP(2,φi[],2,)*100)&amp;"% y "&amp;(VLOOKUP(3,φi[],2,)*100)&amp;"%","cond. a HR = "&amp;(VLOOKUP(1,φi[],2,)*100)&amp;"%, "&amp;(VLOOKUP(2,φi[],2,)*100)&amp;"% y "&amp;(VLOOKUP(3,φi[],2,)*100)&amp;"%"),NA())</f>
        <v>#N/A</v>
      </c>
    </row>
    <row r="113" spans="1:56" ht="16.5" thickBot="1" x14ac:dyDescent="0.3">
      <c r="A113" s="162"/>
      <c r="B113" s="367" t="e">
        <f>IF(CÁLCULOS!B18="Interior",NA(),CÁLCULOS!B18)</f>
        <v>#N/A</v>
      </c>
      <c r="C113" s="166" t="e">
        <v>#N/A</v>
      </c>
      <c r="D113" s="167" t="e">
        <v>#N/A</v>
      </c>
      <c r="E113" s="167" t="e">
        <v>#N/A</v>
      </c>
      <c r="F113" s="368" t="e">
        <v>#N/A</v>
      </c>
      <c r="G113" s="153"/>
      <c r="H113" s="162"/>
      <c r="I113" s="367" t="e">
        <f>IF(CÁLCULOS!BG18="Interior",NA(),CÁLCULOS!BG18)</f>
        <v>#N/A</v>
      </c>
      <c r="J113" s="166" t="e">
        <v>#N/A</v>
      </c>
      <c r="K113" s="167" t="e">
        <v>#N/A</v>
      </c>
      <c r="L113" s="167" t="e">
        <v>#N/A</v>
      </c>
      <c r="M113" s="370" t="e">
        <v>#N/A</v>
      </c>
      <c r="N113" s="153"/>
      <c r="P113" s="1">
        <v>12</v>
      </c>
      <c r="Q113" s="134" t="e">
        <v>#N/A</v>
      </c>
      <c r="R113" s="135" t="e">
        <v>#N/A</v>
      </c>
      <c r="S113" s="135" t="e">
        <v>#N/A</v>
      </c>
      <c r="T113" s="135" t="e">
        <v>#N/A</v>
      </c>
      <c r="U113" s="141" t="e">
        <v>#N/A</v>
      </c>
      <c r="V113" s="142" t="e">
        <v>#N/A</v>
      </c>
      <c r="W113" s="144" t="e">
        <v>#N/A</v>
      </c>
      <c r="X113" s="145" t="e">
        <f ca="1"/>
        <v>#N/A</v>
      </c>
      <c r="Y113" s="125" t="e">
        <v>#N/A</v>
      </c>
      <c r="Z113" s="144" t="e">
        <v>#N/A</v>
      </c>
      <c r="AA113" s="145" t="e">
        <f ca="1"/>
        <v>#N/A</v>
      </c>
      <c r="AB113" s="125" t="e">
        <v>#N/A</v>
      </c>
      <c r="AC113" s="144" t="e">
        <v>#N/A</v>
      </c>
      <c r="AD113" s="145" t="e">
        <f ca="1"/>
        <v>#N/A</v>
      </c>
      <c r="AE113" s="125" t="e">
        <v>#N/A</v>
      </c>
      <c r="AF113" s="144" t="e">
        <v>#N/A</v>
      </c>
      <c r="AG113" s="145" t="e">
        <v>#N/A</v>
      </c>
      <c r="AH113" s="125" t="e">
        <v>#N/A</v>
      </c>
      <c r="AI113" s="124" t="e">
        <f>IF(IF(ISNUMBER(Seccion1!Y113),Seccion1!Y113,0)+IF(ISNUMBER(Seccion1!AB113),Seccion1!AB113,0)+IF(ISNUMBER(Seccion1!AE113),Seccion1!AE113,0)&gt;0,Seccion1!V113,NA())</f>
        <v>#N/A</v>
      </c>
      <c r="AJ113" s="125" t="e">
        <f>IF(AI113&gt;0,CHOOSE(Seccion1!Y113+Seccion1!AB113+Seccion1!AE113,"cond. a HR = "&amp;(VLOOKUP(3,φi[],2,)*100)&amp;"%","cond. a HR = "&amp;(VLOOKUP(2,φi[],2,)*100)&amp;"% y "&amp;(VLOOKUP(3,φi[],2,)*100)&amp;"%","cond. a HR = "&amp;(VLOOKUP(1,φi[],2,)*100)&amp;"%, "&amp;(VLOOKUP(2,φi[],2,)*100)&amp;"% y "&amp;(VLOOKUP(3,φi[],2,)*100)&amp;"%"),NA())</f>
        <v>#N/A</v>
      </c>
      <c r="AK113" s="134" t="e">
        <v>#N/A</v>
      </c>
      <c r="AL113" s="135" t="e">
        <v>#N/A</v>
      </c>
      <c r="AM113" s="129" t="e">
        <v>#N/A</v>
      </c>
      <c r="AN113" s="135" t="e">
        <v>#N/A</v>
      </c>
      <c r="AO113" s="145" t="e">
        <v>#N/A</v>
      </c>
      <c r="AP113" s="142" t="e">
        <v>#N/A</v>
      </c>
      <c r="AQ113" s="144" t="e">
        <v>#N/A</v>
      </c>
      <c r="AR113" s="145" t="e">
        <f ca="1"/>
        <v>#N/A</v>
      </c>
      <c r="AS113" s="125" t="e">
        <v>#N/A</v>
      </c>
      <c r="AT113" s="144" t="e">
        <v>#N/A</v>
      </c>
      <c r="AU113" s="145" t="e">
        <f ca="1"/>
        <v>#N/A</v>
      </c>
      <c r="AV113" s="125" t="e">
        <v>#N/A</v>
      </c>
      <c r="AW113" s="144" t="e">
        <v>#N/A</v>
      </c>
      <c r="AX113" s="145" t="e">
        <f ca="1"/>
        <v>#N/A</v>
      </c>
      <c r="AY113" s="130" t="e">
        <v>#N/A</v>
      </c>
      <c r="AZ113" s="144" t="e">
        <v>#N/A</v>
      </c>
      <c r="BA113" s="145" t="e">
        <v>#N/A</v>
      </c>
      <c r="BB113" s="130" t="e">
        <v>#N/A</v>
      </c>
      <c r="BC113" s="124" t="e">
        <f>IF(IF(ISNUMBER(Seccion1!AS113),Seccion1!AS113,0)+IF(ISNUMBER(Seccion1!AV113),Seccion1!AV113,0)+IF(ISNUMBER(Seccion1!AY113),Seccion1!AY113,0)&gt;0,Seccion1!AP113,NA())</f>
        <v>#N/A</v>
      </c>
      <c r="BD113" s="125" t="e">
        <f>IF(BC113&gt;0,CHOOSE(Seccion1!AS113+Seccion1!AV113+Seccion1!AY113,"cond. a HR = "&amp;(VLOOKUP(3,φi[],2,)*100)&amp;"%","cond. a HR = "&amp;(VLOOKUP(2,φi[],2,)*100)&amp;"% y "&amp;(VLOOKUP(3,φi[],2,)*100)&amp;"%","cond. a HR = "&amp;(VLOOKUP(1,φi[],2,)*100)&amp;"%, "&amp;(VLOOKUP(2,φi[],2,)*100)&amp;"% y "&amp;(VLOOKUP(3,φi[],2,)*100)&amp;"%"),NA())</f>
        <v>#N/A</v>
      </c>
    </row>
    <row r="114" spans="1:56" ht="15.75" customHeight="1" thickBot="1" x14ac:dyDescent="0.3">
      <c r="A114" s="162"/>
      <c r="B114" s="352" t="s">
        <v>280</v>
      </c>
      <c r="C114" s="354">
        <f>CÁLCULOS!$O$21</f>
        <v>3</v>
      </c>
      <c r="D114" s="355">
        <f>CÁLCULOS!$Z$21</f>
        <v>3</v>
      </c>
      <c r="E114" s="356">
        <f>CÁLCULOS!$AK$21</f>
        <v>3</v>
      </c>
      <c r="F114" s="357">
        <f>CÁLCULOS!$AV$21</f>
        <v>1</v>
      </c>
      <c r="G114" s="153"/>
      <c r="H114" s="162"/>
      <c r="I114" s="352" t="s">
        <v>280</v>
      </c>
      <c r="J114" s="354">
        <f>CÁLCULOS!BT$21</f>
        <v>0</v>
      </c>
      <c r="K114" s="355">
        <f>CÁLCULOS!CE21</f>
        <v>0</v>
      </c>
      <c r="L114" s="356">
        <f>CÁLCULOS!CP21</f>
        <v>0</v>
      </c>
      <c r="M114" s="359">
        <f>CÁLCULOS!DA21</f>
        <v>1</v>
      </c>
      <c r="N114" s="153"/>
    </row>
    <row r="115" spans="1:56" ht="15.75" customHeight="1" thickBot="1" x14ac:dyDescent="0.3">
      <c r="A115" s="162"/>
      <c r="B115" s="360" t="s">
        <v>593</v>
      </c>
      <c r="C115" s="646" t="str">
        <f>SUM(C114:E114)&amp;" Interfases"</f>
        <v>9 Interfases</v>
      </c>
      <c r="D115" s="647"/>
      <c r="E115" s="648"/>
      <c r="F115" s="350"/>
      <c r="G115" s="153"/>
      <c r="H115" s="162"/>
      <c r="I115" s="360" t="s">
        <v>593</v>
      </c>
      <c r="J115" s="646" t="str">
        <f>SUM(J114:L114)&amp;" Interfases"</f>
        <v>0 Interfases</v>
      </c>
      <c r="K115" s="647"/>
      <c r="L115" s="648"/>
      <c r="M115" s="351"/>
      <c r="N115" s="153"/>
    </row>
    <row r="116" spans="1:56" ht="7.5" customHeight="1" thickBot="1" x14ac:dyDescent="0.3">
      <c r="A116" s="168"/>
      <c r="B116" s="169"/>
      <c r="C116" s="169"/>
      <c r="D116" s="169"/>
      <c r="E116" s="169"/>
      <c r="F116" s="169"/>
      <c r="G116" s="170"/>
      <c r="H116" s="168"/>
      <c r="I116" s="169"/>
      <c r="J116" s="169"/>
      <c r="K116" s="169"/>
      <c r="L116" s="169"/>
      <c r="M116" s="169"/>
      <c r="N116" s="170"/>
    </row>
    <row r="117" spans="1:56" ht="19.5" thickBot="1" x14ac:dyDescent="0.3">
      <c r="A117" s="618" t="s">
        <v>223</v>
      </c>
      <c r="B117" s="619"/>
      <c r="C117" s="619"/>
      <c r="D117" s="619"/>
      <c r="E117" s="619"/>
      <c r="F117" s="619"/>
      <c r="G117" s="619"/>
      <c r="H117" s="619"/>
      <c r="I117" s="619"/>
      <c r="J117" s="619"/>
      <c r="K117" s="619"/>
      <c r="L117" s="619"/>
      <c r="M117" s="619"/>
      <c r="N117" s="620"/>
    </row>
    <row r="118" spans="1:56" ht="7.5" customHeight="1" x14ac:dyDescent="0.25">
      <c r="A118" s="171"/>
      <c r="B118" s="172"/>
      <c r="C118" s="172"/>
      <c r="D118" s="172"/>
      <c r="E118" s="172"/>
      <c r="F118" s="172"/>
      <c r="G118" s="172"/>
      <c r="H118" s="172"/>
      <c r="I118" s="172"/>
      <c r="J118" s="172"/>
      <c r="K118" s="172"/>
      <c r="L118" s="172"/>
      <c r="M118" s="172"/>
      <c r="N118" s="173"/>
    </row>
    <row r="119" spans="1:56" ht="15.75" customHeight="1" x14ac:dyDescent="0.25">
      <c r="A119" s="174"/>
      <c r="B119" s="640" t="str">
        <f>IF(AND(Seccion1!R122,Seccion1!S122),IF(Seccion1!R120&gt;=1,IF(Seccion1!T120,frase1_1&amp;" "&amp;DISMINUYE&amp;" "&amp;frase1_2&amp;" "&amp;SUPERFICIAL&amp;" "&amp;frase1_3,frase1_1&amp;" "&amp;NO_DISMINUYE&amp;" "&amp;frase1_2&amp;" "&amp;SUPERFICIAL&amp;" "&amp;frase1_3),IF(Seccion1!S120&lt;1,frase0&amp;" "&amp;SUPERFICIAL&amp;" "&amp;frase1_3,frase1_1&amp;" "&amp;NO_DISMINUYE&amp;" "&amp;frase1_2&amp;" "&amp;SUPERFICIAL&amp;" "&amp;frase1_3))&amp;" "&amp;IF(Seccion1!R121&gt;=1,IF(Seccion1!T121,frase1_1&amp;" "&amp;DISMINUYE&amp;" "&amp;frase1_2&amp;" "&amp;INTERSTICIAL&amp;" "&amp;frase1_3,frase1_1&amp;" "&amp;NO_DISMINUYE&amp;" "&amp;frase1_2&amp;" "&amp;INTERSTICIAL&amp;" "&amp;frase1_3),IF(Seccion1!S121&lt;1,frase0&amp;" "&amp;INTERSTICIAL&amp;" "&amp;frase1_3,frase1_1&amp;" "&amp;NO_DISMINUYE&amp;" "&amp;frase1_2&amp;" "&amp;INTERSTICIAL&amp;" "&amp;frase1_3)),"")</f>
        <v>Las soluciones constructivas del caso base y del caso proyectado no presentan riesgo de condensación  SUPERFICIAL para la sección analizada en las condiciones de temperatura y humedad evaluadas. La solución constructiva del caso proyectado DISMINUYE el riesgo de condensación INTERSTICIAL para la sección analizada en las condiciones de temperatura y humedad evaluadas.</v>
      </c>
      <c r="C119" s="640"/>
      <c r="D119" s="640"/>
      <c r="E119" s="640"/>
      <c r="F119" s="640"/>
      <c r="G119" s="640"/>
      <c r="H119" s="640"/>
      <c r="I119" s="640"/>
      <c r="J119" s="640"/>
      <c r="K119" s="640"/>
      <c r="L119" s="640"/>
      <c r="M119" s="640"/>
      <c r="N119" s="175"/>
      <c r="R119" s="1" t="s">
        <v>231</v>
      </c>
      <c r="S119" s="1" t="s">
        <v>235</v>
      </c>
      <c r="T119" s="1" t="s">
        <v>234</v>
      </c>
    </row>
    <row r="120" spans="1:56" ht="15.75" customHeight="1" x14ac:dyDescent="0.25">
      <c r="A120" s="174"/>
      <c r="B120" s="640"/>
      <c r="C120" s="640"/>
      <c r="D120" s="640"/>
      <c r="E120" s="640"/>
      <c r="F120" s="640"/>
      <c r="G120" s="640"/>
      <c r="H120" s="640"/>
      <c r="I120" s="640"/>
      <c r="J120" s="640"/>
      <c r="K120" s="640"/>
      <c r="L120" s="640"/>
      <c r="M120" s="640"/>
      <c r="N120" s="175"/>
      <c r="Q120" s="1" t="s">
        <v>232</v>
      </c>
      <c r="R120" s="1">
        <f>COUNTIF(Seccion1!$C$95:$E$95,"Sí")</f>
        <v>0</v>
      </c>
      <c r="S120" s="1">
        <f>COUNTIF(Seccion1!$J$95:$L$95,"Sí")</f>
        <v>0</v>
      </c>
      <c r="T120" s="1" t="b">
        <f>IF(S120&lt;R120,TRUE,FALSE)</f>
        <v>0</v>
      </c>
    </row>
    <row r="121" spans="1:56" ht="15.75" x14ac:dyDescent="0.25">
      <c r="A121" s="174"/>
      <c r="B121" s="640"/>
      <c r="C121" s="640"/>
      <c r="D121" s="640"/>
      <c r="E121" s="640"/>
      <c r="F121" s="640"/>
      <c r="G121" s="640"/>
      <c r="H121" s="640"/>
      <c r="I121" s="640"/>
      <c r="J121" s="640"/>
      <c r="K121" s="640"/>
      <c r="L121" s="640"/>
      <c r="M121" s="640"/>
      <c r="N121" s="175"/>
      <c r="Q121" s="1" t="s">
        <v>233</v>
      </c>
      <c r="R121" s="1">
        <f>SUM(Seccion1!$C$114:$E$114)</f>
        <v>9</v>
      </c>
      <c r="S121" s="1">
        <f>SUM(Seccion1!$J$114:$L$114)</f>
        <v>0</v>
      </c>
      <c r="T121" s="1" t="b">
        <f>IF(S121&lt;R121,TRUE,FALSE)</f>
        <v>1</v>
      </c>
    </row>
    <row r="122" spans="1:56" ht="15.75" x14ac:dyDescent="0.25">
      <c r="A122" s="174"/>
      <c r="B122" s="176"/>
      <c r="C122" s="176"/>
      <c r="D122" s="176"/>
      <c r="E122" s="176"/>
      <c r="F122" s="176"/>
      <c r="G122" s="176"/>
      <c r="H122" s="176"/>
      <c r="I122" s="176"/>
      <c r="J122" s="176"/>
      <c r="K122" s="644"/>
      <c r="L122" s="644"/>
      <c r="M122" s="644"/>
      <c r="N122" s="175"/>
      <c r="Q122" s="25"/>
      <c r="R122" s="25" t="b">
        <f t="array" ref="R122">IF(SUM(IFERROR(Seccion1!$F$24:$F$35,0))&gt;0,TRUE,FALSE)</f>
        <v>1</v>
      </c>
      <c r="S122" s="25" t="b">
        <f t="array" ref="S122">IF(SUM(IFERROR(Seccion1!$M$24:$M$35,0))&gt;0,TRUE,FALSE)</f>
        <v>1</v>
      </c>
      <c r="T122" s="25"/>
    </row>
    <row r="123" spans="1:56" ht="15.75" customHeight="1" x14ac:dyDescent="0.3">
      <c r="A123" s="146"/>
      <c r="B123" s="210" t="s">
        <v>221</v>
      </c>
      <c r="C123" s="638"/>
      <c r="D123" s="638"/>
      <c r="E123" s="211"/>
      <c r="F123" s="211"/>
      <c r="G123" s="212"/>
      <c r="H123" s="212"/>
      <c r="I123" s="639" t="s">
        <v>222</v>
      </c>
      <c r="J123" s="639"/>
      <c r="K123" s="645"/>
      <c r="L123" s="645"/>
      <c r="M123" s="645"/>
      <c r="N123" s="153"/>
    </row>
    <row r="124" spans="1:56" ht="7.5" customHeight="1" thickBot="1" x14ac:dyDescent="0.3">
      <c r="A124" s="168"/>
      <c r="B124" s="169"/>
      <c r="C124" s="169"/>
      <c r="D124" s="169"/>
      <c r="E124" s="169"/>
      <c r="F124" s="169"/>
      <c r="G124" s="169"/>
      <c r="H124" s="169"/>
      <c r="I124" s="169"/>
      <c r="J124" s="169"/>
      <c r="K124" s="169"/>
      <c r="L124" s="169"/>
      <c r="M124" s="169"/>
      <c r="N124" s="170"/>
    </row>
    <row r="125" spans="1:56" ht="15.75" customHeight="1" x14ac:dyDescent="0.25"/>
  </sheetData>
  <sheetProtection algorithmName="SHA-512" hashValue="FdvgTO8zhV+M8jVT5/KVQvNaZqdd7XRVG3IeEDd9xWT8NdAjADSz2EmKLTlYGDaZa+hTcIMCC1bhYbhnBr+Dew==" saltValue="3U5PxNTGS42IR45jIKV3VA==" spinCount="100000" sheet="1" objects="1" scenarios="1"/>
  <mergeCells count="79">
    <mergeCell ref="C5:E5"/>
    <mergeCell ref="A40:N40"/>
    <mergeCell ref="B24:E24"/>
    <mergeCell ref="B25:E25"/>
    <mergeCell ref="B26:E26"/>
    <mergeCell ref="B27:E27"/>
    <mergeCell ref="B28:E28"/>
    <mergeCell ref="B29:E29"/>
    <mergeCell ref="B30:E30"/>
    <mergeCell ref="B31:E31"/>
    <mergeCell ref="B32:E32"/>
    <mergeCell ref="B33:E33"/>
    <mergeCell ref="B35:E35"/>
    <mergeCell ref="B34:E34"/>
    <mergeCell ref="I24:L24"/>
    <mergeCell ref="I25:L25"/>
    <mergeCell ref="I26:L26"/>
    <mergeCell ref="B88:F90"/>
    <mergeCell ref="I88:M90"/>
    <mergeCell ref="B62:F62"/>
    <mergeCell ref="I62:M62"/>
    <mergeCell ref="B80:F80"/>
    <mergeCell ref="I80:M80"/>
    <mergeCell ref="A85:G85"/>
    <mergeCell ref="H85:N85"/>
    <mergeCell ref="BC99:BD99"/>
    <mergeCell ref="AK97:BD97"/>
    <mergeCell ref="B44:F46"/>
    <mergeCell ref="I44:M46"/>
    <mergeCell ref="V10:W10"/>
    <mergeCell ref="A41:G41"/>
    <mergeCell ref="H41:N41"/>
    <mergeCell ref="J16:L16"/>
    <mergeCell ref="I15:M15"/>
    <mergeCell ref="M36:M38"/>
    <mergeCell ref="H36:H38"/>
    <mergeCell ref="J20:K20"/>
    <mergeCell ref="C20:D20"/>
    <mergeCell ref="A36:A38"/>
    <mergeCell ref="F36:F38"/>
    <mergeCell ref="A84:N84"/>
    <mergeCell ref="C123:D123"/>
    <mergeCell ref="I123:J123"/>
    <mergeCell ref="A117:N117"/>
    <mergeCell ref="B119:M121"/>
    <mergeCell ref="Q97:AJ97"/>
    <mergeCell ref="AI99:AJ99"/>
    <mergeCell ref="K122:M123"/>
    <mergeCell ref="C115:E115"/>
    <mergeCell ref="J115:L115"/>
    <mergeCell ref="A2:N2"/>
    <mergeCell ref="C4:E4"/>
    <mergeCell ref="F4:G4"/>
    <mergeCell ref="H4:J4"/>
    <mergeCell ref="L4:M4"/>
    <mergeCell ref="H8:N8"/>
    <mergeCell ref="B11:F13"/>
    <mergeCell ref="I11:M13"/>
    <mergeCell ref="I23:L23"/>
    <mergeCell ref="C18:F18"/>
    <mergeCell ref="C17:F17"/>
    <mergeCell ref="J17:M17"/>
    <mergeCell ref="J18:M18"/>
    <mergeCell ref="C92:E92"/>
    <mergeCell ref="J92:L92"/>
    <mergeCell ref="K5:M5"/>
    <mergeCell ref="I32:L32"/>
    <mergeCell ref="I33:L33"/>
    <mergeCell ref="I34:L34"/>
    <mergeCell ref="I35:L35"/>
    <mergeCell ref="I27:L27"/>
    <mergeCell ref="I28:L28"/>
    <mergeCell ref="I29:L29"/>
    <mergeCell ref="I30:L30"/>
    <mergeCell ref="I31:L31"/>
    <mergeCell ref="B23:E23"/>
    <mergeCell ref="C16:E16"/>
    <mergeCell ref="A7:N7"/>
    <mergeCell ref="A8:G8"/>
  </mergeCells>
  <conditionalFormatting sqref="B88:F90">
    <cfRule type="cellIs" dxfId="2154" priority="37" operator="equal">
      <formula>0</formula>
    </cfRule>
  </conditionalFormatting>
  <conditionalFormatting sqref="I88:M90">
    <cfRule type="cellIs" dxfId="2153" priority="36" operator="equal">
      <formula>0</formula>
    </cfRule>
  </conditionalFormatting>
  <conditionalFormatting sqref="I44:M46">
    <cfRule type="cellIs" dxfId="2152" priority="35" operator="equal">
      <formula>0</formula>
    </cfRule>
  </conditionalFormatting>
  <conditionalFormatting sqref="B44:F46">
    <cfRule type="cellIs" dxfId="2151" priority="34" operator="equal">
      <formula>0</formula>
    </cfRule>
  </conditionalFormatting>
  <conditionalFormatting sqref="B101:B113">
    <cfRule type="containsErrors" dxfId="2150" priority="33">
      <formula>ISERROR(B101)</formula>
    </cfRule>
  </conditionalFormatting>
  <conditionalFormatting sqref="I102:I113">
    <cfRule type="containsErrors" dxfId="2149" priority="32">
      <formula>ISERROR(I102)</formula>
    </cfRule>
  </conditionalFormatting>
  <conditionalFormatting sqref="B114:B115">
    <cfRule type="containsErrors" dxfId="2148" priority="31">
      <formula>ISERROR(B114)</formula>
    </cfRule>
  </conditionalFormatting>
  <conditionalFormatting sqref="I114">
    <cfRule type="containsErrors" dxfId="2147" priority="30">
      <formula>ISERROR(I114)</formula>
    </cfRule>
  </conditionalFormatting>
  <conditionalFormatting sqref="I16:M20 L21:M21">
    <cfRule type="expression" dxfId="2146" priority="485">
      <formula>$V$10</formula>
    </cfRule>
  </conditionalFormatting>
  <conditionalFormatting sqref="I15:M15">
    <cfRule type="expression" dxfId="2145" priority="488">
      <formula>NOT($V$10)</formula>
    </cfRule>
  </conditionalFormatting>
  <conditionalFormatting sqref="C101:F113">
    <cfRule type="containsErrors" dxfId="2144" priority="28">
      <formula>ISERROR(C101)</formula>
    </cfRule>
  </conditionalFormatting>
  <conditionalFormatting sqref="J101:M113">
    <cfRule type="containsErrors" dxfId="2143" priority="27">
      <formula>ISERROR(J101)</formula>
    </cfRule>
  </conditionalFormatting>
  <conditionalFormatting sqref="I101">
    <cfRule type="containsErrors" dxfId="2142" priority="26">
      <formula>ISERROR(I101)</formula>
    </cfRule>
  </conditionalFormatting>
  <conditionalFormatting sqref="F93:F115">
    <cfRule type="expression" dxfId="2141" priority="23">
      <formula>$F$93=0</formula>
    </cfRule>
  </conditionalFormatting>
  <conditionalFormatting sqref="M93:M95 M97:M115">
    <cfRule type="expression" dxfId="2140" priority="22">
      <formula>$M$93=0</formula>
    </cfRule>
  </conditionalFormatting>
  <conditionalFormatting sqref="F24:F35">
    <cfRule type="containsErrors" dxfId="2139" priority="15">
      <formula>ISERROR(F24)</formula>
    </cfRule>
  </conditionalFormatting>
  <conditionalFormatting sqref="M24:M35">
    <cfRule type="containsErrors" dxfId="2138" priority="14">
      <formula>ISERROR(M24)</formula>
    </cfRule>
  </conditionalFormatting>
  <conditionalFormatting sqref="C95:F99">
    <cfRule type="containsErrors" dxfId="2137" priority="11">
      <formula>ISERROR(C95)</formula>
    </cfRule>
  </conditionalFormatting>
  <conditionalFormatting sqref="J95:M95 J97:M99 K96:L96">
    <cfRule type="containsErrors" dxfId="2136" priority="10">
      <formula>ISERROR(J95)</formula>
    </cfRule>
  </conditionalFormatting>
  <conditionalFormatting sqref="I115">
    <cfRule type="containsErrors" dxfId="2135" priority="9">
      <formula>ISERROR(I115)</formula>
    </cfRule>
  </conditionalFormatting>
  <conditionalFormatting sqref="J96">
    <cfRule type="containsErrors" dxfId="2134" priority="6">
      <formula>ISERROR(J96)</formula>
    </cfRule>
  </conditionalFormatting>
  <conditionalFormatting sqref="M96">
    <cfRule type="expression" dxfId="2133" priority="5">
      <formula>$F$93=0</formula>
    </cfRule>
  </conditionalFormatting>
  <conditionalFormatting sqref="M96">
    <cfRule type="containsErrors" dxfId="2132" priority="4">
      <formula>ISERROR(M96)</formula>
    </cfRule>
  </conditionalFormatting>
  <conditionalFormatting sqref="I21">
    <cfRule type="expression" dxfId="2131" priority="3">
      <formula>$V$10</formula>
    </cfRule>
  </conditionalFormatting>
  <conditionalFormatting sqref="J21">
    <cfRule type="expression" dxfId="2130" priority="2">
      <formula>$V$10</formula>
    </cfRule>
  </conditionalFormatting>
  <conditionalFormatting sqref="K21">
    <cfRule type="expression" dxfId="2129" priority="1">
      <formula>$V$10</formula>
    </cfRule>
  </conditionalFormatting>
  <dataValidations count="9">
    <dataValidation type="list" allowBlank="1" showInputMessage="1" showErrorMessage="1" error="El valor debe ser mayor que la humedad relativa del aire interior" sqref="C20:D20 J20:K20" xr:uid="{00000000-0002-0000-0200-000000000000}">
      <formula1>lista_direccion_flujo</formula1>
    </dataValidation>
    <dataValidation type="decimal" allowBlank="1" showInputMessage="1" showErrorMessage="1" error="El valor debe ser mayor que la humedad relativa del aire interior" sqref="C19" xr:uid="{00000000-0002-0000-0200-000001000000}">
      <formula1>E1+0.01</formula1>
      <formula2>1</formula2>
    </dataValidation>
    <dataValidation type="decimal" allowBlank="1" showInputMessage="1" sqref="S16" xr:uid="{00000000-0002-0000-0200-000002000000}">
      <formula1>0.1</formula1>
      <formula2>0.9</formula2>
    </dataValidation>
    <dataValidation type="decimal" operator="greaterThanOrEqual" allowBlank="1" showInputMessage="1" showErrorMessage="1" sqref="E36 C37:D38" xr:uid="{00000000-0002-0000-0200-000003000000}">
      <formula1>0</formula1>
    </dataValidation>
    <dataValidation type="decimal" allowBlank="1" showInputMessage="1" showErrorMessage="1" error="El valor debe ser mayor que la humedad relativa del aire interior" sqref="J19" xr:uid="{00000000-0002-0000-0200-000004000000}">
      <formula1>E1+0.01</formula1>
      <formula2>1</formula2>
    </dataValidation>
    <dataValidation type="decimal" allowBlank="1" showInputMessage="1" showErrorMessage="1" error="El valor debe ser mayor que la humedad relativa del aire interior" sqref="J22" xr:uid="{00000000-0002-0000-0200-000005000000}">
      <formula1>L7+0.01</formula1>
      <formula2>1</formula2>
    </dataValidation>
    <dataValidation type="decimal" allowBlank="1" showInputMessage="1" showErrorMessage="1" error="El valor debe ser mayor que la humedad relativa del aire interior" sqref="V15" xr:uid="{00000000-0002-0000-0200-000006000000}">
      <formula1>L1+0.01</formula1>
      <formula2>1</formula2>
    </dataValidation>
    <dataValidation type="list" allowBlank="1" showInputMessage="1" showErrorMessage="1" sqref="B24:E35 I24:L27 I28:I35" xr:uid="{00000000-0002-0000-0200-000007000000}">
      <formula1>INDIRECT(lista_Materiales)</formula1>
    </dataValidation>
    <dataValidation type="list" allowBlank="1" showInputMessage="1" showErrorMessage="1" sqref="J16:L16 C16:E16" xr:uid="{00000000-0002-0000-0200-000008000000}">
      <formula1>lista_provincias</formula1>
    </dataValidation>
  </dataValidations>
  <printOptions horizontalCentered="1"/>
  <pageMargins left="0.70866141732283472" right="0.70866141732283472" top="1.1417322834645669" bottom="0.74803149606299213" header="0.31496062992125984" footer="0.31496062992125984"/>
  <pageSetup scale="74" fitToHeight="0" orientation="landscape" r:id="rId1"/>
  <headerFooter>
    <oddHeader>&amp;C&amp;"-,Negrita"&amp;20INFORME DE CÁLCULO DE RIESGO DE 
CONDENSACIÓN DE SOLUCIONES CONSTRUCTIVAS</oddHeader>
    <oddFooter>&amp;LVersión formulario: 2020.1.0&amp;RPágina &amp;P de &amp;N</oddFooter>
  </headerFooter>
  <rowBreaks count="2" manualBreakCount="2">
    <brk id="39" max="13" man="1"/>
    <brk id="83" max="13" man="1"/>
  </rowBreaks>
  <drawing r:id="rId2"/>
  <legacyDrawing r:id="rId3"/>
  <controls>
    <mc:AlternateContent xmlns:mc="http://schemas.openxmlformats.org/markup-compatibility/2006">
      <mc:Choice Requires="x14">
        <control shapeId="22554" r:id="rId4" name="CommandButton4">
          <controlPr defaultSize="0" print="0" autoLine="0" r:id="rId5">
            <anchor moveWithCells="1">
              <from>
                <xdr:col>8</xdr:col>
                <xdr:colOff>1381125</xdr:colOff>
                <xdr:row>90</xdr:row>
                <xdr:rowOff>9525</xdr:rowOff>
              </from>
              <to>
                <xdr:col>8</xdr:col>
                <xdr:colOff>1876425</xdr:colOff>
                <xdr:row>91</xdr:row>
                <xdr:rowOff>152400</xdr:rowOff>
              </to>
            </anchor>
          </controlPr>
        </control>
      </mc:Choice>
      <mc:Fallback>
        <control shapeId="22554" r:id="rId4" name="CommandButton4"/>
      </mc:Fallback>
    </mc:AlternateContent>
    <mc:AlternateContent xmlns:mc="http://schemas.openxmlformats.org/markup-compatibility/2006">
      <mc:Choice Requires="x14">
        <control shapeId="22553" r:id="rId6" name="CommandButton3">
          <controlPr defaultSize="0" print="0" autoLine="0" autoPict="0" r:id="rId7">
            <anchor moveWithCells="1">
              <from>
                <xdr:col>7</xdr:col>
                <xdr:colOff>295275</xdr:colOff>
                <xdr:row>90</xdr:row>
                <xdr:rowOff>19050</xdr:rowOff>
              </from>
              <to>
                <xdr:col>8</xdr:col>
                <xdr:colOff>1171575</xdr:colOff>
                <xdr:row>91</xdr:row>
                <xdr:rowOff>161925</xdr:rowOff>
              </to>
            </anchor>
          </controlPr>
        </control>
      </mc:Choice>
      <mc:Fallback>
        <control shapeId="22553" r:id="rId6" name="CommandButton3"/>
      </mc:Fallback>
    </mc:AlternateContent>
    <mc:AlternateContent xmlns:mc="http://schemas.openxmlformats.org/markup-compatibility/2006">
      <mc:Choice Requires="x14">
        <control shapeId="22552" r:id="rId8" name="CommandButton2">
          <controlPr defaultSize="0" print="0" autoLine="0" r:id="rId9">
            <anchor moveWithCells="1">
              <from>
                <xdr:col>1</xdr:col>
                <xdr:colOff>1371600</xdr:colOff>
                <xdr:row>90</xdr:row>
                <xdr:rowOff>19050</xdr:rowOff>
              </from>
              <to>
                <xdr:col>1</xdr:col>
                <xdr:colOff>1866900</xdr:colOff>
                <xdr:row>91</xdr:row>
                <xdr:rowOff>161925</xdr:rowOff>
              </to>
            </anchor>
          </controlPr>
        </control>
      </mc:Choice>
      <mc:Fallback>
        <control shapeId="22552" r:id="rId8" name="CommandButton2"/>
      </mc:Fallback>
    </mc:AlternateContent>
    <mc:AlternateContent xmlns:mc="http://schemas.openxmlformats.org/markup-compatibility/2006">
      <mc:Choice Requires="x14">
        <control shapeId="22550" r:id="rId10" name="CommandButton1">
          <controlPr defaultSize="0" print="0" autoLine="0" autoPict="0" r:id="rId11">
            <anchor moveWithCells="1">
              <from>
                <xdr:col>0</xdr:col>
                <xdr:colOff>285750</xdr:colOff>
                <xdr:row>90</xdr:row>
                <xdr:rowOff>19050</xdr:rowOff>
              </from>
              <to>
                <xdr:col>1</xdr:col>
                <xdr:colOff>1095375</xdr:colOff>
                <xdr:row>91</xdr:row>
                <xdr:rowOff>161925</xdr:rowOff>
              </to>
            </anchor>
          </controlPr>
        </control>
      </mc:Choice>
      <mc:Fallback>
        <control shapeId="22550" r:id="rId10" name="CommandButton1"/>
      </mc:Fallback>
    </mc:AlternateContent>
    <mc:AlternateContent xmlns:mc="http://schemas.openxmlformats.org/markup-compatibility/2006">
      <mc:Choice Requires="x14">
        <control shapeId="22564" r:id="rId12" name="CommandButton5">
          <controlPr defaultSize="0" autoLine="0" r:id="rId13">
            <anchor moveWithCells="1">
              <from>
                <xdr:col>4</xdr:col>
                <xdr:colOff>371475</xdr:colOff>
                <xdr:row>36</xdr:row>
                <xdr:rowOff>95250</xdr:rowOff>
              </from>
              <to>
                <xdr:col>6</xdr:col>
                <xdr:colOff>0</xdr:colOff>
                <xdr:row>37</xdr:row>
                <xdr:rowOff>161925</xdr:rowOff>
              </to>
            </anchor>
          </controlPr>
        </control>
      </mc:Choice>
      <mc:Fallback>
        <control shapeId="22564" r:id="rId12" name="CommandButton5"/>
      </mc:Fallback>
    </mc:AlternateContent>
    <mc:AlternateContent xmlns:mc="http://schemas.openxmlformats.org/markup-compatibility/2006">
      <mc:Choice Requires="x14">
        <control shapeId="22565" r:id="rId14" name="CommandButton6">
          <controlPr defaultSize="0" autoLine="0" r:id="rId15">
            <anchor moveWithCells="1">
              <from>
                <xdr:col>11</xdr:col>
                <xdr:colOff>371475</xdr:colOff>
                <xdr:row>36</xdr:row>
                <xdr:rowOff>95250</xdr:rowOff>
              </from>
              <to>
                <xdr:col>13</xdr:col>
                <xdr:colOff>0</xdr:colOff>
                <xdr:row>37</xdr:row>
                <xdr:rowOff>161925</xdr:rowOff>
              </to>
            </anchor>
          </controlPr>
        </control>
      </mc:Choice>
      <mc:Fallback>
        <control shapeId="22565" r:id="rId14" name="CommandButton6"/>
      </mc:Fallback>
    </mc:AlternateContent>
    <mc:AlternateContent xmlns:mc="http://schemas.openxmlformats.org/markup-compatibility/2006">
      <mc:Choice Requires="x14">
        <control shapeId="22529" r:id="rId16" name="Check Box 15">
          <controlPr defaultSize="0" print="0" autoFill="0" autoLine="0" autoPict="0">
            <anchor moveWithCells="1">
              <from>
                <xdr:col>7</xdr:col>
                <xdr:colOff>57150</xdr:colOff>
                <xdr:row>14</xdr:row>
                <xdr:rowOff>19050</xdr:rowOff>
              </from>
              <to>
                <xdr:col>7</xdr:col>
                <xdr:colOff>276225</xdr:colOff>
                <xdr:row>14</xdr:row>
                <xdr:rowOff>190500</xdr:rowOff>
              </to>
            </anchor>
          </controlPr>
        </control>
      </mc:Choice>
    </mc:AlternateContent>
    <mc:AlternateContent xmlns:mc="http://schemas.openxmlformats.org/markup-compatibility/2006">
      <mc:Choice Requires="x14">
        <control shapeId="22531" r:id="rId17" name="Casilla Presion HR1">
          <controlPr defaultSize="0" autoFill="0" autoLine="0" autoPict="0">
            <anchor moveWithCells="1">
              <from>
                <xdr:col>1</xdr:col>
                <xdr:colOff>1857375</xdr:colOff>
                <xdr:row>62</xdr:row>
                <xdr:rowOff>28575</xdr:rowOff>
              </from>
              <to>
                <xdr:col>2</xdr:col>
                <xdr:colOff>161925</xdr:colOff>
                <xdr:row>62</xdr:row>
                <xdr:rowOff>171450</xdr:rowOff>
              </to>
            </anchor>
          </controlPr>
        </control>
      </mc:Choice>
    </mc:AlternateContent>
    <mc:AlternateContent xmlns:mc="http://schemas.openxmlformats.org/markup-compatibility/2006">
      <mc:Choice Requires="x14">
        <control shapeId="22532" r:id="rId18" name="Casilla M HR2">
          <controlPr defaultSize="0" autoFill="0" autoLine="0" autoPict="0">
            <anchor moveWithCells="1">
              <from>
                <xdr:col>2</xdr:col>
                <xdr:colOff>695325</xdr:colOff>
                <xdr:row>62</xdr:row>
                <xdr:rowOff>28575</xdr:rowOff>
              </from>
              <to>
                <xdr:col>3</xdr:col>
                <xdr:colOff>152400</xdr:colOff>
                <xdr:row>62</xdr:row>
                <xdr:rowOff>171450</xdr:rowOff>
              </to>
            </anchor>
          </controlPr>
        </control>
      </mc:Choice>
    </mc:AlternateContent>
    <mc:AlternateContent xmlns:mc="http://schemas.openxmlformats.org/markup-compatibility/2006">
      <mc:Choice Requires="x14">
        <control shapeId="22533" r:id="rId19" name="Check Box 5">
          <controlPr defaultSize="0" autoFill="0" autoLine="0" autoPict="0">
            <anchor moveWithCells="1">
              <from>
                <xdr:col>3</xdr:col>
                <xdr:colOff>723900</xdr:colOff>
                <xdr:row>62</xdr:row>
                <xdr:rowOff>28575</xdr:rowOff>
              </from>
              <to>
                <xdr:col>4</xdr:col>
                <xdr:colOff>200025</xdr:colOff>
                <xdr:row>62</xdr:row>
                <xdr:rowOff>171450</xdr:rowOff>
              </to>
            </anchor>
          </controlPr>
        </control>
      </mc:Choice>
    </mc:AlternateContent>
    <mc:AlternateContent xmlns:mc="http://schemas.openxmlformats.org/markup-compatibility/2006">
      <mc:Choice Requires="x14">
        <control shapeId="22537" r:id="rId20" name="Casilla M HR1">
          <controlPr defaultSize="0" autoFill="0" autoLine="0" autoPict="0">
            <anchor moveWithCells="1">
              <from>
                <xdr:col>1</xdr:col>
                <xdr:colOff>1857375</xdr:colOff>
                <xdr:row>63</xdr:row>
                <xdr:rowOff>0</xdr:rowOff>
              </from>
              <to>
                <xdr:col>2</xdr:col>
                <xdr:colOff>104775</xdr:colOff>
                <xdr:row>63</xdr:row>
                <xdr:rowOff>142875</xdr:rowOff>
              </to>
            </anchor>
          </controlPr>
        </control>
      </mc:Choice>
    </mc:AlternateContent>
    <mc:AlternateContent xmlns:mc="http://schemas.openxmlformats.org/markup-compatibility/2006">
      <mc:Choice Requires="x14">
        <control shapeId="22538" r:id="rId21" name="Check Box 10">
          <controlPr defaultSize="0" autoFill="0" autoLine="0" autoPict="0">
            <anchor moveWithCells="1">
              <from>
                <xdr:col>9</xdr:col>
                <xdr:colOff>0</xdr:colOff>
                <xdr:row>62</xdr:row>
                <xdr:rowOff>19050</xdr:rowOff>
              </from>
              <to>
                <xdr:col>9</xdr:col>
                <xdr:colOff>200025</xdr:colOff>
                <xdr:row>62</xdr:row>
                <xdr:rowOff>161925</xdr:rowOff>
              </to>
            </anchor>
          </controlPr>
        </control>
      </mc:Choice>
    </mc:AlternateContent>
    <mc:AlternateContent xmlns:mc="http://schemas.openxmlformats.org/markup-compatibility/2006">
      <mc:Choice Requires="x14">
        <control shapeId="22539" r:id="rId22" name="Check Box 11">
          <controlPr defaultSize="0" autoFill="0" autoLine="0" autoPict="0">
            <anchor moveWithCells="1">
              <from>
                <xdr:col>9</xdr:col>
                <xdr:colOff>723900</xdr:colOff>
                <xdr:row>62</xdr:row>
                <xdr:rowOff>28575</xdr:rowOff>
              </from>
              <to>
                <xdr:col>10</xdr:col>
                <xdr:colOff>180975</xdr:colOff>
                <xdr:row>62</xdr:row>
                <xdr:rowOff>171450</xdr:rowOff>
              </to>
            </anchor>
          </controlPr>
        </control>
      </mc:Choice>
    </mc:AlternateContent>
    <mc:AlternateContent xmlns:mc="http://schemas.openxmlformats.org/markup-compatibility/2006">
      <mc:Choice Requires="x14">
        <control shapeId="22540" r:id="rId23" name="Check Box 12">
          <controlPr defaultSize="0" autoFill="0" autoLine="0" autoPict="0">
            <anchor moveWithCells="1">
              <from>
                <xdr:col>10</xdr:col>
                <xdr:colOff>714375</xdr:colOff>
                <xdr:row>62</xdr:row>
                <xdr:rowOff>28575</xdr:rowOff>
              </from>
              <to>
                <xdr:col>11</xdr:col>
                <xdr:colOff>180975</xdr:colOff>
                <xdr:row>62</xdr:row>
                <xdr:rowOff>171450</xdr:rowOff>
              </to>
            </anchor>
          </controlPr>
        </control>
      </mc:Choice>
    </mc:AlternateContent>
    <mc:AlternateContent xmlns:mc="http://schemas.openxmlformats.org/markup-compatibility/2006">
      <mc:Choice Requires="x14">
        <control shapeId="22541" r:id="rId24" name="Check Box 13">
          <controlPr defaultSize="0" autoFill="0" autoLine="0" autoPict="0">
            <anchor moveWithCells="1">
              <from>
                <xdr:col>8</xdr:col>
                <xdr:colOff>1895475</xdr:colOff>
                <xdr:row>63</xdr:row>
                <xdr:rowOff>0</xdr:rowOff>
              </from>
              <to>
                <xdr:col>9</xdr:col>
                <xdr:colOff>142875</xdr:colOff>
                <xdr:row>63</xdr:row>
                <xdr:rowOff>142875</xdr:rowOff>
              </to>
            </anchor>
          </controlPr>
        </control>
      </mc:Choice>
    </mc:AlternateContent>
    <mc:AlternateContent xmlns:mc="http://schemas.openxmlformats.org/markup-compatibility/2006">
      <mc:Choice Requires="x14">
        <control shapeId="22542" r:id="rId25" name="Check Box 14">
          <controlPr defaultSize="0" autoFill="0" autoLine="0" autoPict="0">
            <anchor moveWithCells="1">
              <from>
                <xdr:col>1</xdr:col>
                <xdr:colOff>1876425</xdr:colOff>
                <xdr:row>80</xdr:row>
                <xdr:rowOff>28575</xdr:rowOff>
              </from>
              <to>
                <xdr:col>2</xdr:col>
                <xdr:colOff>180975</xdr:colOff>
                <xdr:row>80</xdr:row>
                <xdr:rowOff>171450</xdr:rowOff>
              </to>
            </anchor>
          </controlPr>
        </control>
      </mc:Choice>
    </mc:AlternateContent>
    <mc:AlternateContent xmlns:mc="http://schemas.openxmlformats.org/markup-compatibility/2006">
      <mc:Choice Requires="x14">
        <control shapeId="22543" r:id="rId26" name="Check Box 15">
          <controlPr defaultSize="0" autoFill="0" autoLine="0" autoPict="0">
            <anchor moveWithCells="1">
              <from>
                <xdr:col>2</xdr:col>
                <xdr:colOff>723900</xdr:colOff>
                <xdr:row>80</xdr:row>
                <xdr:rowOff>28575</xdr:rowOff>
              </from>
              <to>
                <xdr:col>3</xdr:col>
                <xdr:colOff>180975</xdr:colOff>
                <xdr:row>80</xdr:row>
                <xdr:rowOff>171450</xdr:rowOff>
              </to>
            </anchor>
          </controlPr>
        </control>
      </mc:Choice>
    </mc:AlternateContent>
    <mc:AlternateContent xmlns:mc="http://schemas.openxmlformats.org/markup-compatibility/2006">
      <mc:Choice Requires="x14">
        <control shapeId="22544" r:id="rId27" name="Check Box 16">
          <controlPr defaultSize="0" autoFill="0" autoLine="0" autoPict="0">
            <anchor moveWithCells="1">
              <from>
                <xdr:col>3</xdr:col>
                <xdr:colOff>733425</xdr:colOff>
                <xdr:row>80</xdr:row>
                <xdr:rowOff>28575</xdr:rowOff>
              </from>
              <to>
                <xdr:col>4</xdr:col>
                <xdr:colOff>200025</xdr:colOff>
                <xdr:row>80</xdr:row>
                <xdr:rowOff>171450</xdr:rowOff>
              </to>
            </anchor>
          </controlPr>
        </control>
      </mc:Choice>
    </mc:AlternateContent>
    <mc:AlternateContent xmlns:mc="http://schemas.openxmlformats.org/markup-compatibility/2006">
      <mc:Choice Requires="x14">
        <control shapeId="22545" r:id="rId28" name="Check Box 17">
          <controlPr defaultSize="0" autoFill="0" autoLine="0" autoPict="0">
            <anchor moveWithCells="1">
              <from>
                <xdr:col>1</xdr:col>
                <xdr:colOff>1857375</xdr:colOff>
                <xdr:row>81</xdr:row>
                <xdr:rowOff>0</xdr:rowOff>
              </from>
              <to>
                <xdr:col>2</xdr:col>
                <xdr:colOff>104775</xdr:colOff>
                <xdr:row>81</xdr:row>
                <xdr:rowOff>142875</xdr:rowOff>
              </to>
            </anchor>
          </controlPr>
        </control>
      </mc:Choice>
    </mc:AlternateContent>
    <mc:AlternateContent xmlns:mc="http://schemas.openxmlformats.org/markup-compatibility/2006">
      <mc:Choice Requires="x14">
        <control shapeId="22546" r:id="rId29" name="Check Box 18">
          <controlPr defaultSize="0" autoFill="0" autoLine="0" autoPict="0">
            <anchor moveWithCells="1">
              <from>
                <xdr:col>8</xdr:col>
                <xdr:colOff>1885950</xdr:colOff>
                <xdr:row>80</xdr:row>
                <xdr:rowOff>28575</xdr:rowOff>
              </from>
              <to>
                <xdr:col>9</xdr:col>
                <xdr:colOff>190500</xdr:colOff>
                <xdr:row>80</xdr:row>
                <xdr:rowOff>171450</xdr:rowOff>
              </to>
            </anchor>
          </controlPr>
        </control>
      </mc:Choice>
    </mc:AlternateContent>
    <mc:AlternateContent xmlns:mc="http://schemas.openxmlformats.org/markup-compatibility/2006">
      <mc:Choice Requires="x14">
        <control shapeId="22547" r:id="rId30" name="Check Box 19">
          <controlPr defaultSize="0" autoFill="0" autoLine="0" autoPict="0">
            <anchor moveWithCells="1">
              <from>
                <xdr:col>9</xdr:col>
                <xdr:colOff>676275</xdr:colOff>
                <xdr:row>80</xdr:row>
                <xdr:rowOff>28575</xdr:rowOff>
              </from>
              <to>
                <xdr:col>10</xdr:col>
                <xdr:colOff>133350</xdr:colOff>
                <xdr:row>80</xdr:row>
                <xdr:rowOff>171450</xdr:rowOff>
              </to>
            </anchor>
          </controlPr>
        </control>
      </mc:Choice>
    </mc:AlternateContent>
    <mc:AlternateContent xmlns:mc="http://schemas.openxmlformats.org/markup-compatibility/2006">
      <mc:Choice Requires="x14">
        <control shapeId="22548" r:id="rId31" name="Check Box 20">
          <controlPr defaultSize="0" autoFill="0" autoLine="0" autoPict="0">
            <anchor moveWithCells="1">
              <from>
                <xdr:col>10</xdr:col>
                <xdr:colOff>704850</xdr:colOff>
                <xdr:row>80</xdr:row>
                <xdr:rowOff>28575</xdr:rowOff>
              </from>
              <to>
                <xdr:col>11</xdr:col>
                <xdr:colOff>171450</xdr:colOff>
                <xdr:row>80</xdr:row>
                <xdr:rowOff>171450</xdr:rowOff>
              </to>
            </anchor>
          </controlPr>
        </control>
      </mc:Choice>
    </mc:AlternateContent>
    <mc:AlternateContent xmlns:mc="http://schemas.openxmlformats.org/markup-compatibility/2006">
      <mc:Choice Requires="x14">
        <control shapeId="22549" r:id="rId32" name="Check Box 21">
          <controlPr defaultSize="0" autoFill="0" autoLine="0" autoPict="0">
            <anchor moveWithCells="1">
              <from>
                <xdr:col>8</xdr:col>
                <xdr:colOff>1866900</xdr:colOff>
                <xdr:row>81</xdr:row>
                <xdr:rowOff>0</xdr:rowOff>
              </from>
              <to>
                <xdr:col>9</xdr:col>
                <xdr:colOff>114300</xdr:colOff>
                <xdr:row>81</xdr:row>
                <xdr:rowOff>142875</xdr:rowOff>
              </to>
            </anchor>
          </controlPr>
        </control>
      </mc:Choice>
    </mc:AlternateContent>
  </control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9000000}">
          <x14:formula1>
            <xm:f>Aux!$AL$43:$AL$53</xm:f>
          </x14:formula1>
          <xm:sqref>K5:M5</xm:sqref>
        </x14:dataValidation>
        <x14:dataValidation type="list" allowBlank="1" showInputMessage="1" showErrorMessage="1" xr:uid="{00000000-0002-0000-0200-00000A000000}">
          <x14:formula1>
            <xm:f>Aux!$A$34:$A$83</xm:f>
          </x14:formula1>
          <xm:sqref>R11:R12</xm:sqref>
        </x14:dataValidation>
        <x14:dataValidation type="list" allowBlank="1" showInputMessage="1" showErrorMessage="1" error="El valor debe ser mayor que la humedad relativa del aire interior" xr:uid="{00000000-0002-0000-0200-00000B000000}">
          <x14:formula1>
            <xm:f>Aux!$AK$30:$AK$31</xm:f>
          </x14:formula1>
          <xm:sqref>J21</xm:sqref>
        </x14:dataValidation>
        <x14:dataValidation type="list" allowBlank="1" showInputMessage="1" showErrorMessage="1" error="El valor debe ser mayor que la humedad relativa del aire interior" xr:uid="{00000000-0002-0000-0200-00000C000000}">
          <x14:formula1>
            <xm:f>Aux!$AK$6:$AK$7</xm:f>
          </x14:formula1>
          <xm:sqref>C21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rgb="FF00B0F0"/>
    <pageSetUpPr fitToPage="1"/>
  </sheetPr>
  <dimension ref="A1:BE125"/>
  <sheetViews>
    <sheetView showRowColHeaders="0" topLeftCell="A24" zoomScaleNormal="100" zoomScalePageLayoutView="90" workbookViewId="0">
      <selection activeCell="C21" sqref="C21"/>
    </sheetView>
  </sheetViews>
  <sheetFormatPr baseColWidth="10" defaultColWidth="0" defaultRowHeight="15" x14ac:dyDescent="0.25"/>
  <cols>
    <col min="1" max="1" width="4.5703125" style="1" customWidth="1"/>
    <col min="2" max="2" width="28.5703125" style="1" customWidth="1"/>
    <col min="3" max="5" width="11" style="1" customWidth="1"/>
    <col min="6" max="6" width="11.42578125" style="1" customWidth="1"/>
    <col min="7" max="8" width="4.5703125" style="1" customWidth="1"/>
    <col min="9" max="9" width="28.5703125" style="1" customWidth="1"/>
    <col min="10" max="12" width="11" style="1" customWidth="1"/>
    <col min="13" max="13" width="11.42578125" style="1" customWidth="1"/>
    <col min="14" max="14" width="4.5703125" style="1" customWidth="1"/>
    <col min="15" max="15" width="1.42578125" style="1" customWidth="1"/>
    <col min="16" max="16" width="3" style="1" hidden="1" customWidth="1"/>
    <col min="17" max="20" width="11.42578125" style="1" hidden="1" customWidth="1"/>
    <col min="21" max="21" width="11.5703125" style="1" hidden="1" customWidth="1"/>
    <col min="22" max="22" width="12.5703125" style="1" hidden="1" customWidth="1"/>
    <col min="23" max="53" width="7.140625" style="1" hidden="1" customWidth="1"/>
    <col min="54" max="54" width="8.140625" style="1" hidden="1" customWidth="1"/>
    <col min="55" max="56" width="11.42578125" style="1" hidden="1" customWidth="1"/>
    <col min="57" max="57" width="2.140625" style="1" customWidth="1"/>
    <col min="58" max="16384" width="11.42578125" style="1" hidden="1"/>
  </cols>
  <sheetData>
    <row r="1" spans="1:23" ht="15.75" thickBot="1" x14ac:dyDescent="0.3"/>
    <row r="2" spans="1:23" ht="19.5" thickBot="1" x14ac:dyDescent="0.3">
      <c r="A2" s="618" t="s">
        <v>204</v>
      </c>
      <c r="B2" s="619"/>
      <c r="C2" s="619"/>
      <c r="D2" s="619"/>
      <c r="E2" s="619"/>
      <c r="F2" s="619"/>
      <c r="G2" s="619"/>
      <c r="H2" s="619"/>
      <c r="I2" s="619"/>
      <c r="J2" s="619"/>
      <c r="K2" s="619"/>
      <c r="L2" s="619"/>
      <c r="M2" s="619"/>
      <c r="N2" s="620"/>
    </row>
    <row r="3" spans="1:23" ht="7.5" customHeight="1" x14ac:dyDescent="0.25">
      <c r="A3" s="177"/>
      <c r="B3" s="178"/>
      <c r="C3" s="178"/>
      <c r="D3" s="178"/>
      <c r="E3" s="178"/>
      <c r="F3" s="178"/>
      <c r="G3" s="178"/>
      <c r="H3" s="178"/>
      <c r="I3" s="178"/>
      <c r="J3" s="178"/>
      <c r="K3" s="178"/>
      <c r="L3" s="178"/>
      <c r="M3" s="178"/>
      <c r="N3" s="179"/>
    </row>
    <row r="4" spans="1:23" ht="17.25" x14ac:dyDescent="0.3">
      <c r="A4" s="180"/>
      <c r="B4" s="102" t="s">
        <v>206</v>
      </c>
      <c r="C4" s="635"/>
      <c r="D4" s="635"/>
      <c r="E4" s="635"/>
      <c r="F4" s="636" t="s">
        <v>205</v>
      </c>
      <c r="G4" s="636"/>
      <c r="H4" s="614"/>
      <c r="I4" s="614"/>
      <c r="J4" s="614"/>
      <c r="K4" s="104" t="s">
        <v>207</v>
      </c>
      <c r="L4" s="637"/>
      <c r="M4" s="637"/>
      <c r="N4" s="181"/>
      <c r="T4" s="100"/>
      <c r="U4" s="100"/>
    </row>
    <row r="5" spans="1:23" ht="17.25" x14ac:dyDescent="0.3">
      <c r="A5" s="180"/>
      <c r="B5" s="102" t="s">
        <v>208</v>
      </c>
      <c r="C5" s="614"/>
      <c r="D5" s="614"/>
      <c r="E5" s="614"/>
      <c r="F5" s="21"/>
      <c r="G5" s="105" t="s">
        <v>209</v>
      </c>
      <c r="H5" s="21"/>
      <c r="I5" s="449"/>
      <c r="J5" s="104" t="s">
        <v>210</v>
      </c>
      <c r="K5" s="614"/>
      <c r="L5" s="614"/>
      <c r="M5" s="614"/>
      <c r="N5" s="181"/>
    </row>
    <row r="6" spans="1:23" ht="7.5" customHeight="1" thickBot="1" x14ac:dyDescent="0.3">
      <c r="A6" s="182"/>
      <c r="B6" s="183"/>
      <c r="C6" s="183"/>
      <c r="D6" s="183"/>
      <c r="E6" s="183"/>
      <c r="F6" s="183"/>
      <c r="G6" s="183"/>
      <c r="H6" s="183"/>
      <c r="I6" s="183"/>
      <c r="J6" s="183"/>
      <c r="K6" s="183"/>
      <c r="L6" s="183"/>
      <c r="M6" s="183"/>
      <c r="N6" s="184"/>
    </row>
    <row r="7" spans="1:23" ht="19.5" thickBot="1" x14ac:dyDescent="0.3">
      <c r="A7" s="618" t="s">
        <v>0</v>
      </c>
      <c r="B7" s="619"/>
      <c r="C7" s="619"/>
      <c r="D7" s="619"/>
      <c r="E7" s="619"/>
      <c r="F7" s="619"/>
      <c r="G7" s="619"/>
      <c r="H7" s="619"/>
      <c r="I7" s="619"/>
      <c r="J7" s="619"/>
      <c r="K7" s="619"/>
      <c r="L7" s="619"/>
      <c r="M7" s="619"/>
      <c r="N7" s="620"/>
    </row>
    <row r="8" spans="1:23" ht="18" thickBot="1" x14ac:dyDescent="0.35">
      <c r="A8" s="621" t="s">
        <v>256</v>
      </c>
      <c r="B8" s="622"/>
      <c r="C8" s="622"/>
      <c r="D8" s="622"/>
      <c r="E8" s="622"/>
      <c r="F8" s="622"/>
      <c r="G8" s="623"/>
      <c r="H8" s="621" t="s">
        <v>257</v>
      </c>
      <c r="I8" s="622"/>
      <c r="J8" s="622"/>
      <c r="K8" s="622"/>
      <c r="L8" s="622"/>
      <c r="M8" s="622"/>
      <c r="N8" s="623"/>
      <c r="Q8" s="12" t="s">
        <v>283</v>
      </c>
      <c r="T8" s="12" t="s">
        <v>284</v>
      </c>
    </row>
    <row r="9" spans="1:23" ht="7.5" customHeight="1" x14ac:dyDescent="0.25">
      <c r="A9" s="185"/>
      <c r="B9" s="186"/>
      <c r="C9" s="186"/>
      <c r="D9" s="186"/>
      <c r="E9" s="186"/>
      <c r="F9" s="186"/>
      <c r="G9" s="187"/>
      <c r="H9" s="185"/>
      <c r="I9" s="186"/>
      <c r="J9" s="186"/>
      <c r="K9" s="186"/>
      <c r="L9" s="186"/>
      <c r="M9" s="186"/>
      <c r="N9" s="187"/>
    </row>
    <row r="10" spans="1:23" ht="17.25" x14ac:dyDescent="0.25">
      <c r="A10" s="188"/>
      <c r="B10" s="189" t="s">
        <v>615</v>
      </c>
      <c r="C10" s="190"/>
      <c r="D10" s="190"/>
      <c r="E10" s="190"/>
      <c r="F10" s="190"/>
      <c r="G10" s="191"/>
      <c r="H10" s="188"/>
      <c r="I10" s="189" t="s">
        <v>615</v>
      </c>
      <c r="J10" s="192"/>
      <c r="K10" s="192"/>
      <c r="L10" s="192"/>
      <c r="M10" s="192"/>
      <c r="N10" s="191"/>
      <c r="Q10" s="12" t="s">
        <v>287</v>
      </c>
      <c r="S10" s="1" t="b">
        <v>0</v>
      </c>
      <c r="T10" s="12" t="s">
        <v>157</v>
      </c>
      <c r="V10" s="661" t="b">
        <v>1</v>
      </c>
      <c r="W10" s="661"/>
    </row>
    <row r="11" spans="1:23" ht="18" customHeight="1" x14ac:dyDescent="0.3">
      <c r="A11" s="146"/>
      <c r="B11" s="624"/>
      <c r="C11" s="625"/>
      <c r="D11" s="625"/>
      <c r="E11" s="625"/>
      <c r="F11" s="626"/>
      <c r="G11" s="193"/>
      <c r="H11" s="194"/>
      <c r="I11" s="624"/>
      <c r="J11" s="625"/>
      <c r="K11" s="625"/>
      <c r="L11" s="625"/>
      <c r="M11" s="626"/>
      <c r="N11" s="153"/>
      <c r="Q11" s="12" t="s">
        <v>1</v>
      </c>
      <c r="R11" s="15">
        <f>$C$16</f>
        <v>0</v>
      </c>
      <c r="T11" s="12" t="s">
        <v>1</v>
      </c>
      <c r="V11" s="15">
        <f>IF(Casilla1,provincia_C1,Seccion2!$J$16)</f>
        <v>0</v>
      </c>
      <c r="W11" s="15"/>
    </row>
    <row r="12" spans="1:23" ht="18" customHeight="1" x14ac:dyDescent="0.3">
      <c r="A12" s="146"/>
      <c r="B12" s="627"/>
      <c r="C12" s="628"/>
      <c r="D12" s="628"/>
      <c r="E12" s="628"/>
      <c r="F12" s="629"/>
      <c r="G12" s="193"/>
      <c r="H12" s="194"/>
      <c r="I12" s="627"/>
      <c r="J12" s="628"/>
      <c r="K12" s="628"/>
      <c r="L12" s="628"/>
      <c r="M12" s="629"/>
      <c r="N12" s="153"/>
      <c r="Q12" s="12"/>
      <c r="R12" s="15"/>
      <c r="T12" s="12"/>
      <c r="V12" s="15"/>
      <c r="W12" s="15"/>
    </row>
    <row r="13" spans="1:23" ht="18" customHeight="1" x14ac:dyDescent="0.3">
      <c r="A13" s="146"/>
      <c r="B13" s="630"/>
      <c r="C13" s="631"/>
      <c r="D13" s="631"/>
      <c r="E13" s="631"/>
      <c r="F13" s="632"/>
      <c r="G13" s="193"/>
      <c r="H13" s="194"/>
      <c r="I13" s="630"/>
      <c r="J13" s="631"/>
      <c r="K13" s="631"/>
      <c r="L13" s="631"/>
      <c r="M13" s="632"/>
      <c r="N13" s="153"/>
      <c r="Q13" s="12" t="s">
        <v>26</v>
      </c>
      <c r="T13" s="12" t="s">
        <v>26</v>
      </c>
      <c r="V13" s="82"/>
      <c r="W13" s="15"/>
    </row>
    <row r="14" spans="1:23" ht="7.5" customHeight="1" x14ac:dyDescent="0.25">
      <c r="A14" s="146"/>
      <c r="B14" s="21"/>
      <c r="C14" s="21"/>
      <c r="D14" s="21"/>
      <c r="E14" s="21"/>
      <c r="F14" s="21"/>
      <c r="G14" s="153"/>
      <c r="H14" s="146"/>
      <c r="I14" s="21"/>
      <c r="J14" s="21"/>
      <c r="K14" s="21"/>
      <c r="L14" s="21"/>
      <c r="M14" s="21"/>
      <c r="N14" s="153"/>
    </row>
    <row r="15" spans="1:23" ht="17.25" x14ac:dyDescent="0.3">
      <c r="A15" s="146"/>
      <c r="B15" s="662"/>
      <c r="C15" s="662"/>
      <c r="D15" s="662"/>
      <c r="E15" s="662"/>
      <c r="F15" s="662"/>
      <c r="G15" s="153"/>
      <c r="H15" s="195"/>
      <c r="I15" s="662" t="s">
        <v>288</v>
      </c>
      <c r="J15" s="662"/>
      <c r="K15" s="662"/>
      <c r="L15" s="662"/>
      <c r="M15" s="662"/>
      <c r="N15" s="153"/>
      <c r="Q15" s="12" t="s">
        <v>113</v>
      </c>
      <c r="S15" s="136">
        <f>$C$19</f>
        <v>0</v>
      </c>
      <c r="T15" s="12" t="s">
        <v>113</v>
      </c>
      <c r="V15" s="136">
        <f>IF(Casilla1,φsicr_C1,Seccion2!$J$19)</f>
        <v>0</v>
      </c>
      <c r="W15" s="15"/>
    </row>
    <row r="16" spans="1:23" ht="17.25" x14ac:dyDescent="0.3">
      <c r="A16" s="146"/>
      <c r="B16" s="102" t="s">
        <v>247</v>
      </c>
      <c r="C16" s="617"/>
      <c r="D16" s="617"/>
      <c r="E16" s="617"/>
      <c r="F16" s="196"/>
      <c r="G16" s="153"/>
      <c r="H16" s="152"/>
      <c r="I16" s="102" t="s">
        <v>247</v>
      </c>
      <c r="J16" s="617"/>
      <c r="K16" s="617"/>
      <c r="L16" s="617"/>
      <c r="M16" s="196"/>
      <c r="N16" s="153"/>
      <c r="Q16" s="12" t="s">
        <v>227</v>
      </c>
      <c r="S16" s="137">
        <v>0.47000000000000025</v>
      </c>
      <c r="T16" s="12" t="s">
        <v>227</v>
      </c>
      <c r="V16" s="137">
        <v>0</v>
      </c>
      <c r="W16" s="15"/>
    </row>
    <row r="17" spans="1:23" ht="17.25" x14ac:dyDescent="0.3">
      <c r="A17" s="146"/>
      <c r="B17" s="102" t="s">
        <v>225</v>
      </c>
      <c r="C17" s="634" t="str">
        <f>IFERROR(CÁLCULOS!ϴe_H2_C1&amp;"°C; "&amp;CÁLCULOS!φe_H2_C1*100&amp;"% de HR (temp. mín. mes de julio)","")</f>
        <v/>
      </c>
      <c r="D17" s="634"/>
      <c r="E17" s="634"/>
      <c r="F17" s="634"/>
      <c r="G17" s="153"/>
      <c r="H17" s="152"/>
      <c r="I17" s="102" t="s">
        <v>225</v>
      </c>
      <c r="J17" s="634" t="str">
        <f>IFERROR(CÁLCULOS!ϴe_H2_C2&amp;"°C; "&amp;CÁLCULOS!φe_H2_C2*100&amp;"% de HR (temp. mín. mes de julio)","")</f>
        <v/>
      </c>
      <c r="K17" s="634"/>
      <c r="L17" s="634"/>
      <c r="M17" s="634"/>
      <c r="N17" s="153"/>
      <c r="Q17" s="12" t="s">
        <v>255</v>
      </c>
      <c r="S17" s="136">
        <f>$C$20</f>
        <v>0</v>
      </c>
      <c r="T17" s="12" t="s">
        <v>255</v>
      </c>
      <c r="V17" s="1">
        <f>IF(Casilla1,direccion_flujo_C1,Seccion2!$J$20)</f>
        <v>0</v>
      </c>
      <c r="W17" s="16"/>
    </row>
    <row r="18" spans="1:23" ht="17.25" x14ac:dyDescent="0.3">
      <c r="A18" s="146"/>
      <c r="B18" s="102" t="s">
        <v>226</v>
      </c>
      <c r="C18" s="633" t="str">
        <f>Aux!$AK$3&amp;"°C; 60%, 75% y 80% de HR"</f>
        <v>19°C; 60%, 75% y 80% de HR</v>
      </c>
      <c r="D18" s="633"/>
      <c r="E18" s="633"/>
      <c r="F18" s="633"/>
      <c r="G18" s="153"/>
      <c r="H18" s="152"/>
      <c r="I18" s="102" t="s">
        <v>226</v>
      </c>
      <c r="J18" s="633" t="str">
        <f>Aux!$AK$3&amp;"°C; 60%, 75% y 80% de HR"</f>
        <v>19°C; 60%, 75% y 80% de HR</v>
      </c>
      <c r="K18" s="633"/>
      <c r="L18" s="633"/>
      <c r="M18" s="633"/>
      <c r="N18" s="153"/>
      <c r="Q18" s="12" t="s">
        <v>809</v>
      </c>
      <c r="S18" s="1" t="e">
        <f>MATCH($C$21,Aux!$AK$6:$AK$7,0)</f>
        <v>#N/A</v>
      </c>
      <c r="T18" s="12" t="s">
        <v>809</v>
      </c>
      <c r="V18" s="1" t="e">
        <f>IF(Casilla1,$S$18,MATCH($J$21,Aux!$AK$6:$AK$7,0))</f>
        <v>#N/A</v>
      </c>
    </row>
    <row r="19" spans="1:23" ht="17.25" x14ac:dyDescent="0.3">
      <c r="A19" s="146"/>
      <c r="B19" s="102" t="s">
        <v>228</v>
      </c>
      <c r="C19" s="474"/>
      <c r="D19" s="21"/>
      <c r="E19" s="197"/>
      <c r="F19" s="101"/>
      <c r="G19" s="153"/>
      <c r="H19" s="152"/>
      <c r="I19" s="102" t="s">
        <v>228</v>
      </c>
      <c r="J19" s="448">
        <v>1</v>
      </c>
      <c r="K19" s="21"/>
      <c r="L19" s="102"/>
      <c r="M19" s="101"/>
      <c r="N19" s="153"/>
    </row>
    <row r="20" spans="1:23" ht="17.25" x14ac:dyDescent="0.3">
      <c r="A20" s="146"/>
      <c r="B20" s="102" t="s">
        <v>255</v>
      </c>
      <c r="C20" s="665"/>
      <c r="D20" s="665"/>
      <c r="E20" s="197"/>
      <c r="F20" s="101"/>
      <c r="G20" s="153"/>
      <c r="H20" s="152"/>
      <c r="I20" s="102" t="s">
        <v>255</v>
      </c>
      <c r="J20" s="665"/>
      <c r="K20" s="665"/>
      <c r="L20" s="102"/>
      <c r="M20" s="101"/>
      <c r="N20" s="153"/>
    </row>
    <row r="21" spans="1:23" ht="17.25" x14ac:dyDescent="0.3">
      <c r="A21" s="146"/>
      <c r="B21" s="102" t="s">
        <v>809</v>
      </c>
      <c r="C21" s="536"/>
      <c r="D21" s="197"/>
      <c r="E21" s="197"/>
      <c r="F21" s="21"/>
      <c r="G21" s="153"/>
      <c r="H21" s="152"/>
      <c r="I21" s="102" t="s">
        <v>809</v>
      </c>
      <c r="J21" s="536" t="s">
        <v>183</v>
      </c>
      <c r="K21" s="102"/>
      <c r="L21" s="102"/>
      <c r="M21" s="101"/>
      <c r="N21" s="153"/>
    </row>
    <row r="22" spans="1:23" ht="7.5" customHeight="1" x14ac:dyDescent="0.25">
      <c r="A22" s="146"/>
      <c r="B22" s="21"/>
      <c r="C22" s="21"/>
      <c r="D22" s="21"/>
      <c r="E22" s="21"/>
      <c r="F22" s="21"/>
      <c r="G22" s="153"/>
      <c r="H22" s="180"/>
      <c r="I22" s="198"/>
      <c r="J22" s="199"/>
      <c r="K22" s="198"/>
      <c r="L22" s="190"/>
      <c r="M22" s="190"/>
      <c r="N22" s="153"/>
    </row>
    <row r="23" spans="1:23" ht="46.5" customHeight="1" x14ac:dyDescent="0.25">
      <c r="A23" s="200" t="s">
        <v>103</v>
      </c>
      <c r="B23" s="616"/>
      <c r="C23" s="616"/>
      <c r="D23" s="616"/>
      <c r="E23" s="616"/>
      <c r="F23" s="330" t="s">
        <v>538</v>
      </c>
      <c r="G23" s="153"/>
      <c r="H23" s="200" t="s">
        <v>103</v>
      </c>
      <c r="I23" s="616"/>
      <c r="J23" s="616"/>
      <c r="K23" s="616"/>
      <c r="L23" s="616"/>
      <c r="M23" s="330" t="s">
        <v>538</v>
      </c>
      <c r="N23" s="153"/>
      <c r="S23" s="327" t="s">
        <v>564</v>
      </c>
      <c r="T23" s="327" t="s">
        <v>565</v>
      </c>
    </row>
    <row r="24" spans="1:23" ht="15.75" customHeight="1" x14ac:dyDescent="0.25">
      <c r="A24" s="162">
        <v>1</v>
      </c>
      <c r="B24" s="615"/>
      <c r="C24" s="615"/>
      <c r="D24" s="615"/>
      <c r="E24" s="615"/>
      <c r="F24" s="337" t="e">
        <f t="array" ref="F24:F35">IF(CÁLCULOS!$B$34:$B$45="Interior",NA(),CÁLCULOS!R_H2_C1)</f>
        <v>#N/A</v>
      </c>
      <c r="G24" s="153"/>
      <c r="H24" s="162">
        <v>1</v>
      </c>
      <c r="I24" s="615"/>
      <c r="J24" s="615"/>
      <c r="K24" s="615"/>
      <c r="L24" s="615"/>
      <c r="M24" s="337" t="e">
        <f t="array" ref="M24:M35">IF(CÁLCULOS!$BG$34:$BG$45="Interior",NA(),CÁLCULOS!R_H2_C2)</f>
        <v>#N/A</v>
      </c>
      <c r="N24" s="153"/>
      <c r="R24" s="1">
        <v>1</v>
      </c>
      <c r="S24" s="1" t="str">
        <f t="array" ref="S24:S35">IF(ISBLANK(lista_Materiales_C1),"",IF(ISBLANK(VLOOKUP(lista_Materiales_C1,Materiales[],6,FALSE)),"",IFERROR(VLOOKUP(lista_Materiales_C1,Materiales[],6,FALSE),"")))</f>
        <v/>
      </c>
      <c r="T24" s="1" t="str">
        <f t="array" ref="T24:T35">IF(ISBLANK(lista_Materiales_C2),"",IF(ISBLANK(VLOOKUP(lista_Materiales_C2,Materiales[],6,FALSE)),"",IFERROR(VLOOKUP(lista_Materiales_C2,Materiales[],6,FALSE),"")))</f>
        <v/>
      </c>
    </row>
    <row r="25" spans="1:23" ht="15.75" x14ac:dyDescent="0.25">
      <c r="A25" s="162">
        <v>2</v>
      </c>
      <c r="B25" s="615"/>
      <c r="C25" s="615"/>
      <c r="D25" s="615"/>
      <c r="E25" s="615"/>
      <c r="F25" s="338" t="e">
        <v>#N/A</v>
      </c>
      <c r="G25" s="153"/>
      <c r="H25" s="162">
        <v>2</v>
      </c>
      <c r="I25" s="615"/>
      <c r="J25" s="615"/>
      <c r="K25" s="615"/>
      <c r="L25" s="615"/>
      <c r="M25" s="338" t="e">
        <v>#N/A</v>
      </c>
      <c r="N25" s="153"/>
      <c r="R25" s="1">
        <v>2</v>
      </c>
      <c r="S25" s="1" t="str">
        <v/>
      </c>
      <c r="T25" s="1" t="str">
        <v/>
      </c>
    </row>
    <row r="26" spans="1:23" ht="15.75" x14ac:dyDescent="0.25">
      <c r="A26" s="162">
        <v>3</v>
      </c>
      <c r="B26" s="615"/>
      <c r="C26" s="615"/>
      <c r="D26" s="615"/>
      <c r="E26" s="615"/>
      <c r="F26" s="338" t="e">
        <v>#N/A</v>
      </c>
      <c r="G26" s="153"/>
      <c r="H26" s="162">
        <v>3</v>
      </c>
      <c r="I26" s="615"/>
      <c r="J26" s="615"/>
      <c r="K26" s="615"/>
      <c r="L26" s="615"/>
      <c r="M26" s="338" t="e">
        <v>#N/A</v>
      </c>
      <c r="N26" s="153"/>
      <c r="R26" s="1">
        <v>3</v>
      </c>
      <c r="S26" s="1" t="str">
        <v/>
      </c>
      <c r="T26" s="1" t="str">
        <v/>
      </c>
    </row>
    <row r="27" spans="1:23" ht="15.75" x14ac:dyDescent="0.25">
      <c r="A27" s="162">
        <v>4</v>
      </c>
      <c r="B27" s="615"/>
      <c r="C27" s="615"/>
      <c r="D27" s="615"/>
      <c r="E27" s="615"/>
      <c r="F27" s="338" t="e">
        <v>#N/A</v>
      </c>
      <c r="G27" s="153"/>
      <c r="H27" s="162">
        <v>4</v>
      </c>
      <c r="I27" s="615"/>
      <c r="J27" s="615"/>
      <c r="K27" s="615"/>
      <c r="L27" s="615"/>
      <c r="M27" s="338" t="e">
        <v>#N/A</v>
      </c>
      <c r="N27" s="153"/>
      <c r="R27" s="1">
        <v>4</v>
      </c>
      <c r="S27" s="1" t="str">
        <v/>
      </c>
      <c r="T27" s="1" t="str">
        <v/>
      </c>
    </row>
    <row r="28" spans="1:23" ht="15.75" x14ac:dyDescent="0.25">
      <c r="A28" s="162">
        <v>5</v>
      </c>
      <c r="B28" s="615"/>
      <c r="C28" s="615"/>
      <c r="D28" s="615"/>
      <c r="E28" s="615"/>
      <c r="F28" s="338" t="e">
        <v>#N/A</v>
      </c>
      <c r="G28" s="153"/>
      <c r="H28" s="162">
        <v>5</v>
      </c>
      <c r="I28" s="615"/>
      <c r="J28" s="615"/>
      <c r="K28" s="615"/>
      <c r="L28" s="615"/>
      <c r="M28" s="338" t="e">
        <v>#N/A</v>
      </c>
      <c r="N28" s="153"/>
      <c r="R28" s="1">
        <v>5</v>
      </c>
      <c r="S28" s="1" t="str">
        <v/>
      </c>
      <c r="T28" s="1" t="str">
        <v/>
      </c>
    </row>
    <row r="29" spans="1:23" ht="15.75" x14ac:dyDescent="0.25">
      <c r="A29" s="162">
        <v>6</v>
      </c>
      <c r="B29" s="615"/>
      <c r="C29" s="615"/>
      <c r="D29" s="615"/>
      <c r="E29" s="615"/>
      <c r="F29" s="338" t="e">
        <v>#N/A</v>
      </c>
      <c r="G29" s="153"/>
      <c r="H29" s="162">
        <v>6</v>
      </c>
      <c r="I29" s="615"/>
      <c r="J29" s="615"/>
      <c r="K29" s="615"/>
      <c r="L29" s="615"/>
      <c r="M29" s="338" t="e">
        <v>#N/A</v>
      </c>
      <c r="N29" s="153"/>
      <c r="R29" s="1">
        <v>6</v>
      </c>
      <c r="S29" s="1" t="str">
        <v/>
      </c>
      <c r="T29" s="1" t="str">
        <v/>
      </c>
    </row>
    <row r="30" spans="1:23" ht="15.75" x14ac:dyDescent="0.25">
      <c r="A30" s="162">
        <v>7</v>
      </c>
      <c r="B30" s="615"/>
      <c r="C30" s="615"/>
      <c r="D30" s="615"/>
      <c r="E30" s="615"/>
      <c r="F30" s="338" t="e">
        <v>#N/A</v>
      </c>
      <c r="G30" s="153"/>
      <c r="H30" s="162">
        <v>7</v>
      </c>
      <c r="I30" s="615"/>
      <c r="J30" s="615"/>
      <c r="K30" s="615"/>
      <c r="L30" s="615"/>
      <c r="M30" s="338" t="e">
        <v>#N/A</v>
      </c>
      <c r="N30" s="153"/>
      <c r="R30" s="1">
        <v>7</v>
      </c>
      <c r="S30" s="1" t="str">
        <v/>
      </c>
      <c r="T30" s="1" t="str">
        <v/>
      </c>
    </row>
    <row r="31" spans="1:23" ht="15.75" x14ac:dyDescent="0.25">
      <c r="A31" s="162">
        <v>8</v>
      </c>
      <c r="B31" s="615"/>
      <c r="C31" s="615"/>
      <c r="D31" s="615"/>
      <c r="E31" s="615"/>
      <c r="F31" s="338" t="e">
        <v>#N/A</v>
      </c>
      <c r="G31" s="153"/>
      <c r="H31" s="162">
        <v>8</v>
      </c>
      <c r="I31" s="615"/>
      <c r="J31" s="615"/>
      <c r="K31" s="615"/>
      <c r="L31" s="615"/>
      <c r="M31" s="338" t="e">
        <v>#N/A</v>
      </c>
      <c r="N31" s="153"/>
      <c r="R31" s="1">
        <v>8</v>
      </c>
      <c r="S31" s="1" t="str">
        <v/>
      </c>
      <c r="T31" s="1" t="str">
        <v/>
      </c>
    </row>
    <row r="32" spans="1:23" ht="15.75" x14ac:dyDescent="0.25">
      <c r="A32" s="162">
        <v>9</v>
      </c>
      <c r="B32" s="615"/>
      <c r="C32" s="615"/>
      <c r="D32" s="615"/>
      <c r="E32" s="615"/>
      <c r="F32" s="338" t="e">
        <v>#N/A</v>
      </c>
      <c r="G32" s="153"/>
      <c r="H32" s="162">
        <v>9</v>
      </c>
      <c r="I32" s="615"/>
      <c r="J32" s="615"/>
      <c r="K32" s="615"/>
      <c r="L32" s="615"/>
      <c r="M32" s="338" t="e">
        <v>#N/A</v>
      </c>
      <c r="N32" s="153"/>
      <c r="R32" s="1">
        <v>9</v>
      </c>
      <c r="S32" s="1" t="str">
        <v/>
      </c>
      <c r="T32" s="1" t="str">
        <v/>
      </c>
    </row>
    <row r="33" spans="1:51" ht="15.75" x14ac:dyDescent="0.25">
      <c r="A33" s="162">
        <v>10</v>
      </c>
      <c r="B33" s="615"/>
      <c r="C33" s="615"/>
      <c r="D33" s="615"/>
      <c r="E33" s="615"/>
      <c r="F33" s="338" t="e">
        <v>#N/A</v>
      </c>
      <c r="G33" s="153"/>
      <c r="H33" s="162">
        <v>10</v>
      </c>
      <c r="I33" s="615"/>
      <c r="J33" s="615"/>
      <c r="K33" s="615"/>
      <c r="L33" s="615"/>
      <c r="M33" s="338" t="e">
        <v>#N/A</v>
      </c>
      <c r="N33" s="153"/>
      <c r="R33" s="1">
        <v>10</v>
      </c>
      <c r="S33" s="1" t="str">
        <v/>
      </c>
      <c r="T33" s="1" t="str">
        <v/>
      </c>
    </row>
    <row r="34" spans="1:51" ht="15.75" x14ac:dyDescent="0.25">
      <c r="A34" s="162">
        <v>11</v>
      </c>
      <c r="B34" s="615"/>
      <c r="C34" s="615"/>
      <c r="D34" s="615"/>
      <c r="E34" s="615"/>
      <c r="F34" s="338" t="e">
        <v>#N/A</v>
      </c>
      <c r="G34" s="153"/>
      <c r="H34" s="162">
        <v>11</v>
      </c>
      <c r="I34" s="615"/>
      <c r="J34" s="615"/>
      <c r="K34" s="615"/>
      <c r="L34" s="615"/>
      <c r="M34" s="338" t="e">
        <v>#N/A</v>
      </c>
      <c r="N34" s="153"/>
      <c r="R34" s="1">
        <v>11</v>
      </c>
      <c r="S34" s="1" t="str">
        <v/>
      </c>
      <c r="T34" s="1" t="str">
        <v/>
      </c>
    </row>
    <row r="35" spans="1:51" ht="15.75" x14ac:dyDescent="0.25">
      <c r="A35" s="162">
        <v>12</v>
      </c>
      <c r="B35" s="615"/>
      <c r="C35" s="615"/>
      <c r="D35" s="615"/>
      <c r="E35" s="615"/>
      <c r="F35" s="339" t="e">
        <v>#N/A</v>
      </c>
      <c r="G35" s="153"/>
      <c r="H35" s="162">
        <v>12</v>
      </c>
      <c r="I35" s="615"/>
      <c r="J35" s="615"/>
      <c r="K35" s="615"/>
      <c r="L35" s="615"/>
      <c r="M35" s="339" t="e">
        <v>#N/A</v>
      </c>
      <c r="N35" s="153"/>
      <c r="R35" s="1">
        <v>12</v>
      </c>
      <c r="S35" s="1" t="str">
        <v/>
      </c>
      <c r="T35" s="1" t="str">
        <v/>
      </c>
    </row>
    <row r="36" spans="1:51" x14ac:dyDescent="0.25">
      <c r="A36" s="664" t="s">
        <v>104</v>
      </c>
      <c r="B36" s="21"/>
      <c r="C36" s="21"/>
      <c r="D36" s="21"/>
      <c r="E36" s="21"/>
      <c r="F36" s="663"/>
      <c r="G36" s="153"/>
      <c r="H36" s="664" t="s">
        <v>104</v>
      </c>
      <c r="I36" s="21"/>
      <c r="J36" s="21"/>
      <c r="K36" s="21"/>
      <c r="L36" s="21"/>
      <c r="M36" s="663"/>
      <c r="N36" s="153"/>
    </row>
    <row r="37" spans="1:51" ht="15.75" x14ac:dyDescent="0.25">
      <c r="A37" s="664"/>
      <c r="B37" s="198" t="s">
        <v>130</v>
      </c>
      <c r="C37" s="103">
        <f>IFERROR(CÁLCULOS!Espesor_total_AT2_C1*1000,"")</f>
        <v>0</v>
      </c>
      <c r="D37" s="201" t="s">
        <v>131</v>
      </c>
      <c r="E37" s="21"/>
      <c r="F37" s="663"/>
      <c r="G37" s="153"/>
      <c r="H37" s="664"/>
      <c r="I37" s="198" t="s">
        <v>130</v>
      </c>
      <c r="J37" s="103">
        <f>IFERROR(CÁLCULOS!Espesor_total_AT2_C2*1000,"")</f>
        <v>0</v>
      </c>
      <c r="K37" s="201" t="s">
        <v>131</v>
      </c>
      <c r="L37" s="21"/>
      <c r="M37" s="663"/>
      <c r="N37" s="153"/>
    </row>
    <row r="38" spans="1:51" ht="18.75" x14ac:dyDescent="0.35">
      <c r="A38" s="664"/>
      <c r="B38" s="198" t="s">
        <v>224</v>
      </c>
      <c r="C38" s="99">
        <f>CÁLCULOS!RT_H2_C1</f>
        <v>0</v>
      </c>
      <c r="D38" s="201" t="s">
        <v>27</v>
      </c>
      <c r="E38" s="21"/>
      <c r="F38" s="663"/>
      <c r="G38" s="153"/>
      <c r="H38" s="664"/>
      <c r="I38" s="198" t="s">
        <v>224</v>
      </c>
      <c r="J38" s="99">
        <f>CÁLCULOS!RT_H2_C2</f>
        <v>0</v>
      </c>
      <c r="K38" s="201" t="s">
        <v>27</v>
      </c>
      <c r="L38" s="21"/>
      <c r="M38" s="663"/>
      <c r="N38" s="153"/>
    </row>
    <row r="39" spans="1:51" ht="7.5" customHeight="1" thickBot="1" x14ac:dyDescent="0.3">
      <c r="A39" s="168"/>
      <c r="B39" s="169"/>
      <c r="C39" s="169"/>
      <c r="D39" s="169"/>
      <c r="E39" s="169"/>
      <c r="F39" s="169"/>
      <c r="G39" s="170"/>
      <c r="H39" s="168"/>
      <c r="I39" s="169"/>
      <c r="J39" s="169"/>
      <c r="K39" s="169"/>
      <c r="L39" s="169"/>
      <c r="M39" s="169"/>
      <c r="N39" s="170"/>
      <c r="AX39" s="48"/>
      <c r="AY39" s="48"/>
    </row>
    <row r="40" spans="1:51" ht="19.5" thickBot="1" x14ac:dyDescent="0.3">
      <c r="A40" s="618" t="s">
        <v>274</v>
      </c>
      <c r="B40" s="619"/>
      <c r="C40" s="619"/>
      <c r="D40" s="619"/>
      <c r="E40" s="619"/>
      <c r="F40" s="619"/>
      <c r="G40" s="619"/>
      <c r="H40" s="619"/>
      <c r="I40" s="619"/>
      <c r="J40" s="619"/>
      <c r="K40" s="619"/>
      <c r="L40" s="619"/>
      <c r="M40" s="619"/>
      <c r="N40" s="620"/>
    </row>
    <row r="41" spans="1:51" ht="18" thickBot="1" x14ac:dyDescent="0.35">
      <c r="A41" s="621" t="str">
        <f>A$8</f>
        <v>CASO BASE</v>
      </c>
      <c r="B41" s="622"/>
      <c r="C41" s="622"/>
      <c r="D41" s="622"/>
      <c r="E41" s="622"/>
      <c r="F41" s="622"/>
      <c r="G41" s="623"/>
      <c r="H41" s="621" t="str">
        <f>H$8</f>
        <v>CASO PROYECTADO</v>
      </c>
      <c r="I41" s="622"/>
      <c r="J41" s="622"/>
      <c r="K41" s="622"/>
      <c r="L41" s="622"/>
      <c r="M41" s="622"/>
      <c r="N41" s="623"/>
    </row>
    <row r="42" spans="1:51" ht="7.5" customHeight="1" x14ac:dyDescent="0.25">
      <c r="A42" s="202"/>
      <c r="B42" s="186"/>
      <c r="C42" s="186"/>
      <c r="D42" s="186"/>
      <c r="E42" s="186"/>
      <c r="F42" s="186"/>
      <c r="G42" s="187"/>
      <c r="H42" s="185"/>
      <c r="I42" s="186"/>
      <c r="J42" s="186"/>
      <c r="K42" s="186"/>
      <c r="L42" s="186"/>
      <c r="M42" s="186"/>
      <c r="N42" s="203"/>
    </row>
    <row r="43" spans="1:51" ht="17.25" x14ac:dyDescent="0.25">
      <c r="A43" s="146"/>
      <c r="B43" s="189" t="str">
        <f>B10</f>
        <v>Descripción de la sección de análisis de la solución constructiva:</v>
      </c>
      <c r="C43" s="190"/>
      <c r="D43" s="190"/>
      <c r="E43" s="190"/>
      <c r="F43" s="190"/>
      <c r="G43" s="191"/>
      <c r="H43" s="188"/>
      <c r="I43" s="189" t="str">
        <f>I10</f>
        <v>Descripción de la sección de análisis de la solución constructiva:</v>
      </c>
      <c r="J43" s="192"/>
      <c r="K43" s="192"/>
      <c r="L43" s="192"/>
      <c r="M43" s="192"/>
      <c r="N43" s="153"/>
    </row>
    <row r="44" spans="1:51" ht="17.25" x14ac:dyDescent="0.3">
      <c r="A44" s="146"/>
      <c r="B44" s="652">
        <f>B11</f>
        <v>0</v>
      </c>
      <c r="C44" s="653"/>
      <c r="D44" s="653"/>
      <c r="E44" s="653"/>
      <c r="F44" s="654"/>
      <c r="G44" s="193"/>
      <c r="H44" s="194"/>
      <c r="I44" s="652">
        <f>I11</f>
        <v>0</v>
      </c>
      <c r="J44" s="653"/>
      <c r="K44" s="653"/>
      <c r="L44" s="653"/>
      <c r="M44" s="654"/>
      <c r="N44" s="153"/>
    </row>
    <row r="45" spans="1:51" ht="17.25" x14ac:dyDescent="0.3">
      <c r="A45" s="146"/>
      <c r="B45" s="655"/>
      <c r="C45" s="656"/>
      <c r="D45" s="656"/>
      <c r="E45" s="656"/>
      <c r="F45" s="657"/>
      <c r="G45" s="193"/>
      <c r="H45" s="194"/>
      <c r="I45" s="655"/>
      <c r="J45" s="656"/>
      <c r="K45" s="656"/>
      <c r="L45" s="656"/>
      <c r="M45" s="657"/>
      <c r="N45" s="153"/>
    </row>
    <row r="46" spans="1:51" ht="17.25" x14ac:dyDescent="0.3">
      <c r="A46" s="146"/>
      <c r="B46" s="658"/>
      <c r="C46" s="659"/>
      <c r="D46" s="659"/>
      <c r="E46" s="659"/>
      <c r="F46" s="660"/>
      <c r="G46" s="193"/>
      <c r="H46" s="194"/>
      <c r="I46" s="658"/>
      <c r="J46" s="659"/>
      <c r="K46" s="659"/>
      <c r="L46" s="659"/>
      <c r="M46" s="660"/>
      <c r="N46" s="153"/>
    </row>
    <row r="47" spans="1:51" ht="7.5" customHeight="1" x14ac:dyDescent="0.25">
      <c r="A47" s="146"/>
      <c r="B47" s="21"/>
      <c r="C47" s="21"/>
      <c r="D47" s="21"/>
      <c r="E47" s="21"/>
      <c r="F47" s="21"/>
      <c r="G47" s="153"/>
      <c r="H47" s="146"/>
      <c r="I47" s="21"/>
      <c r="J47" s="21"/>
      <c r="K47" s="21"/>
      <c r="L47" s="21"/>
      <c r="M47" s="21"/>
      <c r="N47" s="153"/>
    </row>
    <row r="48" spans="1:51" ht="17.25" customHeight="1" x14ac:dyDescent="0.25">
      <c r="A48" s="146"/>
      <c r="B48" s="21"/>
      <c r="C48" s="21"/>
      <c r="D48" s="21"/>
      <c r="E48" s="21"/>
      <c r="F48" s="21"/>
      <c r="G48" s="153"/>
      <c r="H48" s="146"/>
      <c r="I48" s="21"/>
      <c r="J48" s="21"/>
      <c r="K48" s="21"/>
      <c r="L48" s="21"/>
      <c r="M48" s="21"/>
      <c r="N48" s="153"/>
    </row>
    <row r="49" spans="1:18" x14ac:dyDescent="0.25">
      <c r="A49" s="146"/>
      <c r="B49" s="21"/>
      <c r="C49" s="21"/>
      <c r="D49" s="21"/>
      <c r="E49" s="21"/>
      <c r="F49" s="21"/>
      <c r="G49" s="153"/>
      <c r="H49" s="146"/>
      <c r="I49" s="21"/>
      <c r="J49" s="21"/>
      <c r="K49" s="21"/>
      <c r="L49" s="21"/>
      <c r="M49" s="21"/>
      <c r="N49" s="153"/>
    </row>
    <row r="50" spans="1:18" x14ac:dyDescent="0.25">
      <c r="A50" s="146"/>
      <c r="B50" s="21"/>
      <c r="C50" s="21"/>
      <c r="D50" s="21"/>
      <c r="E50" s="21"/>
      <c r="F50" s="21"/>
      <c r="G50" s="153"/>
      <c r="H50" s="146"/>
      <c r="I50" s="21"/>
      <c r="J50" s="21"/>
      <c r="K50" s="21"/>
      <c r="L50" s="21"/>
      <c r="M50" s="21"/>
      <c r="N50" s="153"/>
    </row>
    <row r="51" spans="1:18" x14ac:dyDescent="0.25">
      <c r="A51" s="146"/>
      <c r="B51" s="21"/>
      <c r="C51" s="21"/>
      <c r="D51" s="21"/>
      <c r="E51" s="21"/>
      <c r="F51" s="21"/>
      <c r="G51" s="153"/>
      <c r="H51" s="146"/>
      <c r="I51" s="21"/>
      <c r="J51" s="21"/>
      <c r="K51" s="21"/>
      <c r="L51" s="21"/>
      <c r="M51" s="21"/>
      <c r="N51" s="153"/>
    </row>
    <row r="52" spans="1:18" x14ac:dyDescent="0.25">
      <c r="A52" s="146"/>
      <c r="B52" s="21"/>
      <c r="C52" s="21"/>
      <c r="D52" s="21"/>
      <c r="E52" s="21"/>
      <c r="F52" s="21"/>
      <c r="G52" s="153"/>
      <c r="H52" s="146"/>
      <c r="I52" s="21"/>
      <c r="J52" s="21"/>
      <c r="K52" s="21"/>
      <c r="L52" s="21"/>
      <c r="M52" s="21"/>
      <c r="N52" s="153"/>
    </row>
    <row r="53" spans="1:18" x14ac:dyDescent="0.25">
      <c r="A53" s="146"/>
      <c r="B53" s="21"/>
      <c r="C53" s="21"/>
      <c r="D53" s="21"/>
      <c r="E53" s="21"/>
      <c r="F53" s="21"/>
      <c r="G53" s="153"/>
      <c r="H53" s="146"/>
      <c r="I53" s="21"/>
      <c r="J53" s="21"/>
      <c r="K53" s="21"/>
      <c r="L53" s="21"/>
      <c r="M53" s="21"/>
      <c r="N53" s="153"/>
    </row>
    <row r="54" spans="1:18" x14ac:dyDescent="0.25">
      <c r="A54" s="146"/>
      <c r="B54" s="21"/>
      <c r="C54" s="21"/>
      <c r="D54" s="21"/>
      <c r="E54" s="21"/>
      <c r="F54" s="21"/>
      <c r="G54" s="153"/>
      <c r="H54" s="146"/>
      <c r="I54" s="21"/>
      <c r="J54" s="21"/>
      <c r="K54" s="21"/>
      <c r="L54" s="21"/>
      <c r="M54" s="21"/>
      <c r="N54" s="153"/>
    </row>
    <row r="55" spans="1:18" x14ac:dyDescent="0.25">
      <c r="A55" s="146"/>
      <c r="B55" s="21"/>
      <c r="C55" s="21"/>
      <c r="D55" s="21"/>
      <c r="E55" s="21"/>
      <c r="F55" s="21"/>
      <c r="G55" s="153"/>
      <c r="H55" s="146"/>
      <c r="I55" s="21"/>
      <c r="J55" s="21"/>
      <c r="K55" s="21"/>
      <c r="L55" s="21"/>
      <c r="M55" s="21"/>
      <c r="N55" s="153"/>
    </row>
    <row r="56" spans="1:18" x14ac:dyDescent="0.25">
      <c r="A56" s="146"/>
      <c r="B56" s="21"/>
      <c r="C56" s="21"/>
      <c r="D56" s="21"/>
      <c r="E56" s="21"/>
      <c r="F56" s="21"/>
      <c r="G56" s="153"/>
      <c r="H56" s="146"/>
      <c r="I56" s="21"/>
      <c r="J56" s="21"/>
      <c r="K56" s="21"/>
      <c r="L56" s="21"/>
      <c r="M56" s="21"/>
      <c r="N56" s="153"/>
      <c r="Q56" s="14" t="s">
        <v>173</v>
      </c>
      <c r="R56" s="98" t="b">
        <v>1</v>
      </c>
    </row>
    <row r="57" spans="1:18" x14ac:dyDescent="0.25">
      <c r="A57" s="146"/>
      <c r="B57" s="21"/>
      <c r="C57" s="21"/>
      <c r="D57" s="21"/>
      <c r="E57" s="21"/>
      <c r="F57" s="21"/>
      <c r="G57" s="153"/>
      <c r="H57" s="146"/>
      <c r="I57" s="21"/>
      <c r="J57" s="21"/>
      <c r="K57" s="21"/>
      <c r="L57" s="21"/>
      <c r="M57" s="21"/>
      <c r="N57" s="153"/>
      <c r="Q57" s="14" t="s">
        <v>174</v>
      </c>
      <c r="R57" s="98" t="b">
        <v>1</v>
      </c>
    </row>
    <row r="58" spans="1:18" x14ac:dyDescent="0.25">
      <c r="A58" s="146"/>
      <c r="B58" s="21"/>
      <c r="C58" s="21"/>
      <c r="D58" s="21"/>
      <c r="E58" s="21"/>
      <c r="F58" s="21"/>
      <c r="G58" s="153"/>
      <c r="H58" s="146"/>
      <c r="I58" s="21"/>
      <c r="J58" s="21"/>
      <c r="K58" s="21"/>
      <c r="L58" s="21"/>
      <c r="M58" s="21"/>
      <c r="N58" s="153"/>
    </row>
    <row r="59" spans="1:18" x14ac:dyDescent="0.25">
      <c r="A59" s="146"/>
      <c r="B59" s="21"/>
      <c r="C59" s="21"/>
      <c r="D59" s="21"/>
      <c r="E59" s="21"/>
      <c r="F59" s="21"/>
      <c r="G59" s="153"/>
      <c r="H59" s="146"/>
      <c r="I59" s="21"/>
      <c r="J59" s="21"/>
      <c r="K59" s="21"/>
      <c r="L59" s="21"/>
      <c r="M59" s="21"/>
      <c r="N59" s="153"/>
    </row>
    <row r="60" spans="1:18" x14ac:dyDescent="0.25">
      <c r="A60" s="146"/>
      <c r="B60" s="21"/>
      <c r="C60" s="21"/>
      <c r="D60" s="21"/>
      <c r="E60" s="21"/>
      <c r="F60" s="21"/>
      <c r="G60" s="153"/>
      <c r="H60" s="146"/>
      <c r="I60" s="21"/>
      <c r="J60" s="21"/>
      <c r="K60" s="21"/>
      <c r="L60" s="21"/>
      <c r="M60" s="21"/>
      <c r="N60" s="153"/>
    </row>
    <row r="61" spans="1:18" x14ac:dyDescent="0.25">
      <c r="A61" s="146"/>
      <c r="B61" s="21"/>
      <c r="C61" s="21"/>
      <c r="D61" s="21"/>
      <c r="E61" s="21"/>
      <c r="F61" s="21"/>
      <c r="G61" s="153"/>
      <c r="H61" s="146"/>
      <c r="I61" s="21"/>
      <c r="J61" s="21"/>
      <c r="K61" s="21"/>
      <c r="L61" s="21"/>
      <c r="M61" s="21"/>
      <c r="N61" s="153"/>
    </row>
    <row r="62" spans="1:18" x14ac:dyDescent="0.25">
      <c r="A62" s="146"/>
      <c r="B62" s="674" t="s">
        <v>219</v>
      </c>
      <c r="C62" s="675"/>
      <c r="D62" s="675"/>
      <c r="E62" s="675"/>
      <c r="F62" s="676"/>
      <c r="G62" s="153"/>
      <c r="H62" s="146"/>
      <c r="I62" s="674" t="s">
        <v>219</v>
      </c>
      <c r="J62" s="675"/>
      <c r="K62" s="675"/>
      <c r="L62" s="675"/>
      <c r="M62" s="676"/>
      <c r="N62" s="153"/>
    </row>
    <row r="63" spans="1:18" x14ac:dyDescent="0.25">
      <c r="A63" s="146"/>
      <c r="B63" s="204" t="s">
        <v>230</v>
      </c>
      <c r="C63" s="205">
        <f>VLOOKUP(1,φi[],2,FALSE)</f>
        <v>0.65</v>
      </c>
      <c r="D63" s="205">
        <f>VLOOKUP(2,φi[],2,FALSE)</f>
        <v>0.75</v>
      </c>
      <c r="E63" s="205">
        <f>VLOOKUP(3,φi[],2,FALSE)</f>
        <v>0.8</v>
      </c>
      <c r="F63" s="138">
        <f>φi_C1</f>
        <v>0.47000000000000025</v>
      </c>
      <c r="G63" s="153"/>
      <c r="H63" s="146"/>
      <c r="I63" s="204" t="s">
        <v>230</v>
      </c>
      <c r="J63" s="206">
        <f>VLOOKUP(1,φi[],2,FALSE)</f>
        <v>0.65</v>
      </c>
      <c r="K63" s="206">
        <f>VLOOKUP(2,φi[],2,FALSE)</f>
        <v>0.75</v>
      </c>
      <c r="L63" s="206">
        <f>VLOOKUP(3,φi[],2,FALSE)</f>
        <v>0.8</v>
      </c>
      <c r="M63" s="138">
        <f>φi_C2</f>
        <v>0</v>
      </c>
      <c r="N63" s="153"/>
    </row>
    <row r="64" spans="1:18" x14ac:dyDescent="0.25">
      <c r="A64" s="146"/>
      <c r="B64" s="207" t="s">
        <v>220</v>
      </c>
      <c r="C64" s="208"/>
      <c r="D64" s="208"/>
      <c r="E64" s="208"/>
      <c r="F64" s="209"/>
      <c r="G64" s="153"/>
      <c r="H64" s="146"/>
      <c r="I64" s="207" t="s">
        <v>220</v>
      </c>
      <c r="J64" s="208"/>
      <c r="K64" s="208"/>
      <c r="L64" s="208"/>
      <c r="M64" s="209"/>
      <c r="N64" s="153"/>
    </row>
    <row r="65" spans="1:14" ht="7.5" customHeight="1" x14ac:dyDescent="0.25">
      <c r="A65" s="146"/>
      <c r="B65" s="21"/>
      <c r="C65" s="21"/>
      <c r="D65" s="21"/>
      <c r="E65" s="21"/>
      <c r="F65" s="21"/>
      <c r="G65" s="153"/>
      <c r="H65" s="146"/>
      <c r="I65" s="21"/>
      <c r="J65" s="21"/>
      <c r="K65" s="21"/>
      <c r="L65" s="21"/>
      <c r="M65" s="21"/>
      <c r="N65" s="153"/>
    </row>
    <row r="66" spans="1:14" x14ac:dyDescent="0.25">
      <c r="A66" s="146"/>
      <c r="B66" s="21"/>
      <c r="C66" s="21"/>
      <c r="D66" s="21"/>
      <c r="E66" s="21"/>
      <c r="F66" s="21"/>
      <c r="G66" s="153"/>
      <c r="H66" s="146"/>
      <c r="I66" s="21"/>
      <c r="J66" s="21"/>
      <c r="K66" s="21"/>
      <c r="L66" s="21"/>
      <c r="M66" s="21"/>
      <c r="N66" s="153"/>
    </row>
    <row r="67" spans="1:14" x14ac:dyDescent="0.25">
      <c r="A67" s="146"/>
      <c r="B67" s="21"/>
      <c r="C67" s="21"/>
      <c r="D67" s="21"/>
      <c r="E67" s="21"/>
      <c r="F67" s="21"/>
      <c r="G67" s="153"/>
      <c r="H67" s="146"/>
      <c r="I67" s="21"/>
      <c r="J67" s="21"/>
      <c r="K67" s="21"/>
      <c r="L67" s="21"/>
      <c r="M67" s="21"/>
      <c r="N67" s="153"/>
    </row>
    <row r="68" spans="1:14" x14ac:dyDescent="0.25">
      <c r="A68" s="146"/>
      <c r="B68" s="21"/>
      <c r="C68" s="21"/>
      <c r="D68" s="21"/>
      <c r="E68" s="21"/>
      <c r="F68" s="21"/>
      <c r="G68" s="153"/>
      <c r="H68" s="146"/>
      <c r="I68" s="21"/>
      <c r="J68" s="21"/>
      <c r="K68" s="21"/>
      <c r="L68" s="21"/>
      <c r="M68" s="21"/>
      <c r="N68" s="153"/>
    </row>
    <row r="69" spans="1:14" x14ac:dyDescent="0.25">
      <c r="A69" s="146"/>
      <c r="B69" s="21"/>
      <c r="C69" s="21"/>
      <c r="D69" s="21"/>
      <c r="E69" s="21"/>
      <c r="F69" s="21"/>
      <c r="G69" s="153"/>
      <c r="H69" s="146"/>
      <c r="I69" s="21"/>
      <c r="J69" s="21"/>
      <c r="K69" s="21"/>
      <c r="L69" s="21"/>
      <c r="M69" s="21"/>
      <c r="N69" s="153"/>
    </row>
    <row r="70" spans="1:14" x14ac:dyDescent="0.25">
      <c r="A70" s="146"/>
      <c r="B70" s="21"/>
      <c r="C70" s="21"/>
      <c r="D70" s="21"/>
      <c r="E70" s="21"/>
      <c r="F70" s="21"/>
      <c r="G70" s="153"/>
      <c r="H70" s="146"/>
      <c r="I70" s="21"/>
      <c r="J70" s="21"/>
      <c r="K70" s="21"/>
      <c r="L70" s="21"/>
      <c r="M70" s="21"/>
      <c r="N70" s="153"/>
    </row>
    <row r="71" spans="1:14" x14ac:dyDescent="0.25">
      <c r="A71" s="146"/>
      <c r="B71" s="21"/>
      <c r="C71" s="21"/>
      <c r="D71" s="21"/>
      <c r="E71" s="21"/>
      <c r="F71" s="21"/>
      <c r="G71" s="153"/>
      <c r="H71" s="146"/>
      <c r="I71" s="21"/>
      <c r="J71" s="21"/>
      <c r="K71" s="21"/>
      <c r="L71" s="21"/>
      <c r="M71" s="21"/>
      <c r="N71" s="153"/>
    </row>
    <row r="72" spans="1:14" x14ac:dyDescent="0.25">
      <c r="A72" s="146"/>
      <c r="B72" s="21"/>
      <c r="C72" s="21"/>
      <c r="D72" s="21"/>
      <c r="E72" s="21"/>
      <c r="F72" s="21"/>
      <c r="G72" s="153"/>
      <c r="H72" s="146"/>
      <c r="I72" s="21"/>
      <c r="J72" s="21"/>
      <c r="K72" s="21"/>
      <c r="L72" s="21"/>
      <c r="M72" s="21"/>
      <c r="N72" s="153"/>
    </row>
    <row r="73" spans="1:14" x14ac:dyDescent="0.25">
      <c r="A73" s="146"/>
      <c r="B73" s="21"/>
      <c r="C73" s="21"/>
      <c r="D73" s="21"/>
      <c r="E73" s="21"/>
      <c r="F73" s="21"/>
      <c r="G73" s="153"/>
      <c r="H73" s="146"/>
      <c r="I73" s="21"/>
      <c r="J73" s="21"/>
      <c r="K73" s="21"/>
      <c r="L73" s="21"/>
      <c r="M73" s="21"/>
      <c r="N73" s="153"/>
    </row>
    <row r="74" spans="1:14" x14ac:dyDescent="0.25">
      <c r="A74" s="146"/>
      <c r="B74" s="21"/>
      <c r="C74" s="21"/>
      <c r="D74" s="21"/>
      <c r="E74" s="21"/>
      <c r="F74" s="21"/>
      <c r="G74" s="153"/>
      <c r="H74" s="146"/>
      <c r="I74" s="21"/>
      <c r="J74" s="21"/>
      <c r="K74" s="21"/>
      <c r="L74" s="21"/>
      <c r="M74" s="21"/>
      <c r="N74" s="153"/>
    </row>
    <row r="75" spans="1:14" x14ac:dyDescent="0.25">
      <c r="A75" s="146"/>
      <c r="B75" s="21"/>
      <c r="C75" s="21"/>
      <c r="D75" s="21"/>
      <c r="E75" s="21"/>
      <c r="F75" s="21"/>
      <c r="G75" s="153"/>
      <c r="H75" s="146"/>
      <c r="I75" s="21"/>
      <c r="J75" s="21"/>
      <c r="K75" s="21"/>
      <c r="L75" s="21"/>
      <c r="M75" s="21"/>
      <c r="N75" s="153"/>
    </row>
    <row r="76" spans="1:14" ht="15" customHeight="1" x14ac:dyDescent="0.25">
      <c r="A76" s="146"/>
      <c r="B76" s="21"/>
      <c r="C76" s="21"/>
      <c r="D76" s="21"/>
      <c r="E76" s="21"/>
      <c r="F76" s="21"/>
      <c r="G76" s="153"/>
      <c r="H76" s="146"/>
      <c r="I76" s="21"/>
      <c r="J76" s="21"/>
      <c r="K76" s="21"/>
      <c r="L76" s="21"/>
      <c r="M76" s="21"/>
      <c r="N76" s="153"/>
    </row>
    <row r="77" spans="1:14" ht="15" customHeight="1" x14ac:dyDescent="0.25">
      <c r="A77" s="146"/>
      <c r="B77" s="21"/>
      <c r="C77" s="21"/>
      <c r="D77" s="21"/>
      <c r="E77" s="21"/>
      <c r="F77" s="21"/>
      <c r="G77" s="153"/>
      <c r="H77" s="146"/>
      <c r="I77" s="21"/>
      <c r="J77" s="21"/>
      <c r="K77" s="21"/>
      <c r="L77" s="21"/>
      <c r="M77" s="21"/>
      <c r="N77" s="153"/>
    </row>
    <row r="78" spans="1:14" ht="15" customHeight="1" x14ac:dyDescent="0.25">
      <c r="A78" s="146"/>
      <c r="B78" s="21"/>
      <c r="C78" s="21"/>
      <c r="D78" s="21"/>
      <c r="E78" s="21"/>
      <c r="F78" s="21"/>
      <c r="G78" s="153"/>
      <c r="H78" s="146"/>
      <c r="I78" s="21"/>
      <c r="J78" s="21"/>
      <c r="K78" s="21"/>
      <c r="L78" s="21"/>
      <c r="M78" s="21"/>
      <c r="N78" s="153"/>
    </row>
    <row r="79" spans="1:14" ht="15" customHeight="1" x14ac:dyDescent="0.25">
      <c r="A79" s="146"/>
      <c r="B79" s="21"/>
      <c r="C79" s="21"/>
      <c r="D79" s="21"/>
      <c r="E79" s="21"/>
      <c r="F79" s="21"/>
      <c r="G79" s="153"/>
      <c r="H79" s="146"/>
      <c r="I79" s="21"/>
      <c r="J79" s="21"/>
      <c r="K79" s="21"/>
      <c r="L79" s="21"/>
      <c r="M79" s="21"/>
      <c r="N79" s="153"/>
    </row>
    <row r="80" spans="1:14" ht="15" customHeight="1" x14ac:dyDescent="0.25">
      <c r="A80" s="146"/>
      <c r="B80" s="674" t="s">
        <v>219</v>
      </c>
      <c r="C80" s="675"/>
      <c r="D80" s="675"/>
      <c r="E80" s="675"/>
      <c r="F80" s="676"/>
      <c r="G80" s="153"/>
      <c r="H80" s="146"/>
      <c r="I80" s="674" t="s">
        <v>219</v>
      </c>
      <c r="J80" s="675"/>
      <c r="K80" s="675"/>
      <c r="L80" s="675"/>
      <c r="M80" s="676"/>
      <c r="N80" s="153"/>
    </row>
    <row r="81" spans="1:16" ht="15" customHeight="1" x14ac:dyDescent="0.25">
      <c r="A81" s="146"/>
      <c r="B81" s="204" t="s">
        <v>285</v>
      </c>
      <c r="C81" s="206">
        <f>VLOOKUP(1,φi[],2,FALSE)</f>
        <v>0.65</v>
      </c>
      <c r="D81" s="206">
        <f>VLOOKUP(2,φi[],2,FALSE)</f>
        <v>0.75</v>
      </c>
      <c r="E81" s="206">
        <f>VLOOKUP(3,φi[],2,FALSE)</f>
        <v>0.8</v>
      </c>
      <c r="F81" s="138">
        <f>φi_C1</f>
        <v>0.47000000000000025</v>
      </c>
      <c r="G81" s="153"/>
      <c r="H81" s="146"/>
      <c r="I81" s="204" t="s">
        <v>285</v>
      </c>
      <c r="J81" s="206">
        <f>VLOOKUP(1,φi[],2,FALSE)</f>
        <v>0.65</v>
      </c>
      <c r="K81" s="206">
        <f>VLOOKUP(2,φi[],2,FALSE)</f>
        <v>0.75</v>
      </c>
      <c r="L81" s="206">
        <f>VLOOKUP(3,φi[],2,FALSE)</f>
        <v>0.8</v>
      </c>
      <c r="M81" s="138">
        <f>φi_C2</f>
        <v>0</v>
      </c>
      <c r="N81" s="153"/>
    </row>
    <row r="82" spans="1:16" ht="15" customHeight="1" x14ac:dyDescent="0.25">
      <c r="A82" s="146"/>
      <c r="B82" s="207" t="s">
        <v>286</v>
      </c>
      <c r="C82" s="208"/>
      <c r="D82" s="208"/>
      <c r="E82" s="208"/>
      <c r="F82" s="209"/>
      <c r="G82" s="153"/>
      <c r="H82" s="146"/>
      <c r="I82" s="207" t="s">
        <v>286</v>
      </c>
      <c r="J82" s="208"/>
      <c r="K82" s="208"/>
      <c r="L82" s="208"/>
      <c r="M82" s="209"/>
      <c r="N82" s="153"/>
    </row>
    <row r="83" spans="1:16" ht="7.5" customHeight="1" thickBot="1" x14ac:dyDescent="0.3">
      <c r="A83" s="168"/>
      <c r="B83" s="169"/>
      <c r="C83" s="169"/>
      <c r="D83" s="169"/>
      <c r="E83" s="169"/>
      <c r="F83" s="169"/>
      <c r="G83" s="170"/>
      <c r="H83" s="168"/>
      <c r="I83" s="169"/>
      <c r="J83" s="169"/>
      <c r="K83" s="169"/>
      <c r="L83" s="169"/>
      <c r="M83" s="169"/>
      <c r="N83" s="170"/>
    </row>
    <row r="84" spans="1:16" ht="19.5" thickBot="1" x14ac:dyDescent="0.3">
      <c r="A84" s="618" t="s">
        <v>274</v>
      </c>
      <c r="B84" s="619"/>
      <c r="C84" s="619"/>
      <c r="D84" s="619"/>
      <c r="E84" s="619"/>
      <c r="F84" s="619"/>
      <c r="G84" s="619"/>
      <c r="H84" s="619"/>
      <c r="I84" s="619"/>
      <c r="J84" s="619"/>
      <c r="K84" s="619"/>
      <c r="L84" s="619"/>
      <c r="M84" s="619"/>
      <c r="N84" s="620"/>
    </row>
    <row r="85" spans="1:16" ht="18" thickBot="1" x14ac:dyDescent="0.35">
      <c r="A85" s="621" t="str">
        <f>A$8</f>
        <v>CASO BASE</v>
      </c>
      <c r="B85" s="622"/>
      <c r="C85" s="622"/>
      <c r="D85" s="622"/>
      <c r="E85" s="622"/>
      <c r="F85" s="622"/>
      <c r="G85" s="623"/>
      <c r="H85" s="621" t="str">
        <f>H$8</f>
        <v>CASO PROYECTADO</v>
      </c>
      <c r="I85" s="622"/>
      <c r="J85" s="622"/>
      <c r="K85" s="622"/>
      <c r="L85" s="622"/>
      <c r="M85" s="622"/>
      <c r="N85" s="623"/>
    </row>
    <row r="86" spans="1:16" ht="7.5" customHeight="1" x14ac:dyDescent="0.25">
      <c r="A86" s="202"/>
      <c r="B86" s="186"/>
      <c r="C86" s="186"/>
      <c r="D86" s="186"/>
      <c r="E86" s="186"/>
      <c r="F86" s="186"/>
      <c r="G86" s="187"/>
      <c r="H86" s="185"/>
      <c r="I86" s="186"/>
      <c r="J86" s="186"/>
      <c r="K86" s="186"/>
      <c r="L86" s="186"/>
      <c r="M86" s="186"/>
      <c r="N86" s="203"/>
    </row>
    <row r="87" spans="1:16" ht="17.25" x14ac:dyDescent="0.25">
      <c r="A87" s="146"/>
      <c r="B87" s="189" t="str">
        <f>B10</f>
        <v>Descripción de la sección de análisis de la solución constructiva:</v>
      </c>
      <c r="C87" s="190"/>
      <c r="D87" s="190"/>
      <c r="E87" s="190"/>
      <c r="F87" s="190"/>
      <c r="G87" s="191"/>
      <c r="H87" s="188"/>
      <c r="I87" s="189" t="str">
        <f>I10</f>
        <v>Descripción de la sección de análisis de la solución constructiva:</v>
      </c>
      <c r="J87" s="192"/>
      <c r="K87" s="192"/>
      <c r="L87" s="192"/>
      <c r="M87" s="192"/>
      <c r="N87" s="153"/>
    </row>
    <row r="88" spans="1:16" ht="17.25" x14ac:dyDescent="0.3">
      <c r="A88" s="146"/>
      <c r="B88" s="666">
        <f>B11</f>
        <v>0</v>
      </c>
      <c r="C88" s="667"/>
      <c r="D88" s="667"/>
      <c r="E88" s="667"/>
      <c r="F88" s="668"/>
      <c r="G88" s="193"/>
      <c r="H88" s="194"/>
      <c r="I88" s="666">
        <f>I11</f>
        <v>0</v>
      </c>
      <c r="J88" s="667"/>
      <c r="K88" s="667"/>
      <c r="L88" s="667"/>
      <c r="M88" s="668"/>
      <c r="N88" s="153"/>
    </row>
    <row r="89" spans="1:16" ht="17.25" x14ac:dyDescent="0.3">
      <c r="A89" s="146"/>
      <c r="B89" s="669"/>
      <c r="C89" s="640"/>
      <c r="D89" s="640"/>
      <c r="E89" s="640"/>
      <c r="F89" s="670"/>
      <c r="G89" s="193"/>
      <c r="H89" s="194"/>
      <c r="I89" s="669"/>
      <c r="J89" s="640"/>
      <c r="K89" s="640"/>
      <c r="L89" s="640"/>
      <c r="M89" s="670"/>
      <c r="N89" s="153"/>
    </row>
    <row r="90" spans="1:16" ht="17.25" x14ac:dyDescent="0.3">
      <c r="A90" s="146"/>
      <c r="B90" s="671"/>
      <c r="C90" s="672"/>
      <c r="D90" s="672"/>
      <c r="E90" s="672"/>
      <c r="F90" s="673"/>
      <c r="G90" s="193"/>
      <c r="H90" s="194"/>
      <c r="I90" s="671"/>
      <c r="J90" s="672"/>
      <c r="K90" s="672"/>
      <c r="L90" s="672"/>
      <c r="M90" s="673"/>
      <c r="N90" s="153"/>
    </row>
    <row r="91" spans="1:16" ht="7.5" customHeight="1" thickBot="1" x14ac:dyDescent="0.3">
      <c r="A91" s="146"/>
      <c r="B91" s="21"/>
      <c r="C91" s="21"/>
      <c r="D91" s="21"/>
      <c r="E91" s="21"/>
      <c r="F91" s="21"/>
      <c r="G91" s="153"/>
      <c r="H91" s="146"/>
      <c r="I91" s="21"/>
      <c r="J91" s="21"/>
      <c r="K91" s="21"/>
      <c r="L91" s="21"/>
      <c r="M91" s="21"/>
      <c r="N91" s="153"/>
    </row>
    <row r="92" spans="1:16" ht="15" customHeight="1" thickBot="1" x14ac:dyDescent="0.3">
      <c r="A92" s="146"/>
      <c r="B92" s="21"/>
      <c r="C92" s="611" t="s">
        <v>596</v>
      </c>
      <c r="D92" s="612"/>
      <c r="E92" s="613"/>
      <c r="F92" s="390" t="s">
        <v>597</v>
      </c>
      <c r="G92" s="153"/>
      <c r="H92" s="146"/>
      <c r="I92" s="21"/>
      <c r="J92" s="611" t="s">
        <v>596</v>
      </c>
      <c r="K92" s="612"/>
      <c r="L92" s="613"/>
      <c r="M92" s="390" t="s">
        <v>597</v>
      </c>
      <c r="N92" s="153"/>
    </row>
    <row r="93" spans="1:16" ht="18" thickBot="1" x14ac:dyDescent="0.35">
      <c r="A93" s="146"/>
      <c r="B93" s="147" t="s">
        <v>181</v>
      </c>
      <c r="C93" s="148">
        <f>VLOOKUP(1,φi[],2,FALSE)</f>
        <v>0.65</v>
      </c>
      <c r="D93" s="149">
        <f>VLOOKUP(2,φi[],2,FALSE)</f>
        <v>0.75</v>
      </c>
      <c r="E93" s="150">
        <f>VLOOKUP(3,φi[],2,FALSE)</f>
        <v>0.8</v>
      </c>
      <c r="F93" s="332">
        <f>φi_C1</f>
        <v>0.47000000000000025</v>
      </c>
      <c r="G93" s="151"/>
      <c r="H93" s="152"/>
      <c r="I93" s="147" t="s">
        <v>181</v>
      </c>
      <c r="J93" s="148">
        <f>VLOOKUP(1,φi[],2,FALSE)</f>
        <v>0.65</v>
      </c>
      <c r="K93" s="149">
        <f>VLOOKUP(2,φi[],2,FALSE)</f>
        <v>0.75</v>
      </c>
      <c r="L93" s="150">
        <f>VLOOKUP(3,φi[],2,FALSE)</f>
        <v>0.8</v>
      </c>
      <c r="M93" s="332">
        <f>φi_C2</f>
        <v>0</v>
      </c>
      <c r="N93" s="153"/>
    </row>
    <row r="94" spans="1:16" ht="7.5" customHeight="1" thickBot="1" x14ac:dyDescent="0.35">
      <c r="A94" s="146"/>
      <c r="B94" s="394"/>
      <c r="C94" s="395"/>
      <c r="D94" s="395"/>
      <c r="E94" s="395"/>
      <c r="F94" s="396"/>
      <c r="G94" s="151"/>
      <c r="H94" s="152"/>
      <c r="I94" s="394"/>
      <c r="J94" s="395"/>
      <c r="K94" s="395"/>
      <c r="L94" s="395"/>
      <c r="M94" s="396"/>
      <c r="N94" s="153"/>
    </row>
    <row r="95" spans="1:16" ht="17.25" x14ac:dyDescent="0.3">
      <c r="A95" s="146"/>
      <c r="B95" s="397" t="s">
        <v>276</v>
      </c>
      <c r="C95" s="374" t="str">
        <f>IFERROR(IF(CÁLCULOS!$O$53,"Sí","No"),"")</f>
        <v/>
      </c>
      <c r="D95" s="375" t="str">
        <f>IFERROR(IF(CÁLCULOS!$Z$53,"Sí","No"),"")</f>
        <v/>
      </c>
      <c r="E95" s="376" t="str">
        <f>IFERROR(IF(CÁLCULOS!$AK$53,"Sí","No"),"")</f>
        <v/>
      </c>
      <c r="F95" s="377" t="e">
        <f>IF(CÁLCULOS!$AV$53,"Sí","No")</f>
        <v>#N/A</v>
      </c>
      <c r="G95" s="151"/>
      <c r="H95" s="146"/>
      <c r="I95" s="397" t="s">
        <v>276</v>
      </c>
      <c r="J95" s="374" t="str">
        <f>IFERROR(IF(CÁLCULOS!$BT$53,"Sí","No"),"")</f>
        <v/>
      </c>
      <c r="K95" s="375" t="str">
        <f>IFERROR(IF(CÁLCULOS!$CE$53,"Sí","No"),"")</f>
        <v/>
      </c>
      <c r="L95" s="376" t="str">
        <f>IFERROR(IF(CÁLCULOS!$CP$53,"Sí","No"),"")</f>
        <v/>
      </c>
      <c r="M95" s="377" t="e">
        <f>IF(CÁLCULOS!$DA$53,"Sí","No")</f>
        <v>#N/A</v>
      </c>
      <c r="N95" s="153"/>
      <c r="P95" s="1" t="s">
        <v>685</v>
      </c>
    </row>
    <row r="96" spans="1:16" ht="17.25" x14ac:dyDescent="0.3">
      <c r="A96" s="146"/>
      <c r="B96" s="155" t="s">
        <v>594</v>
      </c>
      <c r="C96" s="156" t="str">
        <f>IF(CÁLCULOS!RT_H2_C1=0,"",CÁLCULOS!RT_H2_C1)</f>
        <v/>
      </c>
      <c r="D96" s="157" t="str">
        <f>IF(CÁLCULOS!RT_H2_C1=0,"",CÁLCULOS!RT_H2_C1)</f>
        <v/>
      </c>
      <c r="E96" s="158" t="str">
        <f>IF(CÁLCULOS!RT_H2_C1=0,"",CÁLCULOS!RT_H2_C1)</f>
        <v/>
      </c>
      <c r="F96" s="216" t="str">
        <f>IF(ISERROR(F97),"",CÁLCULOS!RT_H2_C1)</f>
        <v/>
      </c>
      <c r="G96" s="151"/>
      <c r="H96" s="146"/>
      <c r="I96" s="155" t="s">
        <v>595</v>
      </c>
      <c r="J96" s="156" t="str">
        <f>IF(CÁLCULOS!RT_H2_C2=0,"",CÁLCULOS!RT_H2_C2)</f>
        <v/>
      </c>
      <c r="K96" s="157" t="str">
        <f>IF(CÁLCULOS!RT_H2_C2=0,"",CÁLCULOS!RT_H2_C2)</f>
        <v/>
      </c>
      <c r="L96" s="158" t="str">
        <f>IF(CÁLCULOS!RT_H2_C2=0,"",CÁLCULOS!RT_H2_C2)</f>
        <v/>
      </c>
      <c r="M96" s="216" t="str">
        <f>IF(ISERROR(M97),"",CÁLCULOS!RT_H2_C2)</f>
        <v/>
      </c>
      <c r="N96" s="153"/>
    </row>
    <row r="97" spans="1:56" ht="18.75" thickBot="1" x14ac:dyDescent="0.4">
      <c r="A97" s="146"/>
      <c r="B97" s="378" t="s">
        <v>279</v>
      </c>
      <c r="C97" s="379" t="e">
        <f>CÁLCULOS!$O$52</f>
        <v>#N/A</v>
      </c>
      <c r="D97" s="380" t="e">
        <f>CÁLCULOS!$Z$52</f>
        <v>#N/A</v>
      </c>
      <c r="E97" s="381" t="e">
        <f>CÁLCULOS!$AK$52</f>
        <v>#N/A</v>
      </c>
      <c r="F97" s="382" t="e">
        <f>CÁLCULOS!AV52</f>
        <v>#N/A</v>
      </c>
      <c r="G97" s="151"/>
      <c r="H97" s="146"/>
      <c r="I97" s="378" t="s">
        <v>279</v>
      </c>
      <c r="J97" s="379" t="e">
        <f>CÁLCULOS!$BT$52</f>
        <v>#N/A</v>
      </c>
      <c r="K97" s="380" t="e">
        <f>CÁLCULOS!$CE$52</f>
        <v>#N/A</v>
      </c>
      <c r="L97" s="381" t="e">
        <f>CÁLCULOS!$CP$52</f>
        <v>#N/A</v>
      </c>
      <c r="M97" s="382" t="e">
        <f>CÁLCULOS!DA52</f>
        <v>#N/A</v>
      </c>
      <c r="N97" s="153"/>
      <c r="Q97" s="641" t="s">
        <v>202</v>
      </c>
      <c r="R97" s="641"/>
      <c r="S97" s="641"/>
      <c r="T97" s="641"/>
      <c r="U97" s="641"/>
      <c r="V97" s="641"/>
      <c r="W97" s="641"/>
      <c r="X97" s="641"/>
      <c r="Y97" s="641"/>
      <c r="Z97" s="641"/>
      <c r="AA97" s="641"/>
      <c r="AB97" s="641"/>
      <c r="AC97" s="641"/>
      <c r="AD97" s="641"/>
      <c r="AE97" s="641"/>
      <c r="AF97" s="641"/>
      <c r="AG97" s="641"/>
      <c r="AH97" s="641"/>
      <c r="AI97" s="641"/>
      <c r="AJ97" s="641"/>
      <c r="AK97" s="649" t="s">
        <v>203</v>
      </c>
      <c r="AL97" s="650"/>
      <c r="AM97" s="650"/>
      <c r="AN97" s="650"/>
      <c r="AO97" s="650"/>
      <c r="AP97" s="650"/>
      <c r="AQ97" s="650"/>
      <c r="AR97" s="650"/>
      <c r="AS97" s="650"/>
      <c r="AT97" s="650"/>
      <c r="AU97" s="650"/>
      <c r="AV97" s="650"/>
      <c r="AW97" s="650"/>
      <c r="AX97" s="650"/>
      <c r="AY97" s="650"/>
      <c r="AZ97" s="650"/>
      <c r="BA97" s="650"/>
      <c r="BB97" s="650"/>
      <c r="BC97" s="650"/>
      <c r="BD97" s="651"/>
    </row>
    <row r="98" spans="1:56" ht="7.5" customHeight="1" thickBot="1" x14ac:dyDescent="0.35">
      <c r="A98" s="146"/>
      <c r="B98" s="398"/>
      <c r="C98" s="399"/>
      <c r="D98" s="399"/>
      <c r="E98" s="399"/>
      <c r="F98" s="400"/>
      <c r="G98" s="151"/>
      <c r="H98" s="146"/>
      <c r="I98" s="398"/>
      <c r="J98" s="399"/>
      <c r="K98" s="399"/>
      <c r="L98" s="399"/>
      <c r="M98" s="400"/>
      <c r="N98" s="153"/>
      <c r="Q98" s="122"/>
      <c r="R98" s="131"/>
      <c r="S98" s="131"/>
      <c r="T98" s="131"/>
      <c r="U98" s="131"/>
      <c r="V98" s="347"/>
      <c r="W98" s="122"/>
      <c r="X98" s="131"/>
      <c r="Y98" s="347"/>
      <c r="Z98" s="122"/>
      <c r="AA98" s="131"/>
      <c r="AB98" s="347"/>
      <c r="AC98" s="122"/>
      <c r="AD98" s="131"/>
      <c r="AE98" s="347"/>
      <c r="AF98" s="122"/>
      <c r="AG98" s="131"/>
      <c r="AH98" s="347"/>
      <c r="AI98" s="122"/>
      <c r="AJ98" s="347"/>
      <c r="AK98" s="122"/>
      <c r="AL98" s="131"/>
      <c r="AM98" s="131"/>
      <c r="AN98" s="131"/>
      <c r="AO98" s="131"/>
      <c r="AP98" s="131"/>
      <c r="AQ98" s="131"/>
      <c r="AR98" s="131"/>
      <c r="AS98" s="131"/>
      <c r="AT98" s="131"/>
      <c r="AU98" s="131"/>
      <c r="AV98" s="131"/>
      <c r="AW98" s="131"/>
      <c r="AX98" s="131"/>
      <c r="AY98" s="131"/>
      <c r="AZ98" s="131"/>
      <c r="BA98" s="131"/>
      <c r="BB98" s="131"/>
      <c r="BC98" s="131"/>
      <c r="BD98" s="347"/>
    </row>
    <row r="99" spans="1:56" ht="17.25" x14ac:dyDescent="0.3">
      <c r="A99" s="162"/>
      <c r="B99" s="401" t="s">
        <v>277</v>
      </c>
      <c r="C99" s="361" t="e">
        <f>IF(CÁLCULOS!$O$47,"Sí","No")</f>
        <v>#VALUE!</v>
      </c>
      <c r="D99" s="362" t="e">
        <f>IF(CÁLCULOS!$Z$47,"Sí","No")</f>
        <v>#VALUE!</v>
      </c>
      <c r="E99" s="363" t="e">
        <f>IF(CÁLCULOS!$AK$47,"Sí","No")</f>
        <v>#VALUE!</v>
      </c>
      <c r="F99" s="364" t="e">
        <f>IF(CÁLCULOS!$AV$47,"Sí","No")</f>
        <v>#VALUE!</v>
      </c>
      <c r="G99" s="151"/>
      <c r="H99" s="162"/>
      <c r="I99" s="401" t="s">
        <v>277</v>
      </c>
      <c r="J99" s="361" t="e">
        <f>IF(CÁLCULOS!$BT$47,"Sí","No")</f>
        <v>#VALUE!</v>
      </c>
      <c r="K99" s="362" t="e">
        <f>IF(CÁLCULOS!$CE$47,"Sí","No")</f>
        <v>#VALUE!</v>
      </c>
      <c r="L99" s="363" t="e">
        <f>IF(CÁLCULOS!$CP$47,"Sí","No")</f>
        <v>#VALUE!</v>
      </c>
      <c r="M99" s="364" t="e">
        <f>IF(CÁLCULOS!$DA$47,"Sí","No")</f>
        <v>#VALUE!</v>
      </c>
      <c r="N99" s="153"/>
      <c r="Q99" s="122" t="s">
        <v>114</v>
      </c>
      <c r="R99" s="131" t="s">
        <v>116</v>
      </c>
      <c r="S99" s="131" t="s">
        <v>118</v>
      </c>
      <c r="T99" s="131" t="s">
        <v>119</v>
      </c>
      <c r="U99" s="132" t="s">
        <v>120</v>
      </c>
      <c r="V99" s="117" t="s">
        <v>121</v>
      </c>
      <c r="W99" s="123" t="s">
        <v>270</v>
      </c>
      <c r="X99" s="126" t="s">
        <v>211</v>
      </c>
      <c r="Y99" s="127" t="s">
        <v>216</v>
      </c>
      <c r="Z99" s="123" t="s">
        <v>271</v>
      </c>
      <c r="AA99" s="126" t="s">
        <v>212</v>
      </c>
      <c r="AB99" s="127" t="s">
        <v>217</v>
      </c>
      <c r="AC99" s="123" t="s">
        <v>272</v>
      </c>
      <c r="AD99" s="126" t="s">
        <v>213</v>
      </c>
      <c r="AE99" s="127" t="s">
        <v>216</v>
      </c>
      <c r="AF99" s="123" t="s">
        <v>273</v>
      </c>
      <c r="AG99" s="126" t="s">
        <v>214</v>
      </c>
      <c r="AH99" s="127" t="s">
        <v>215</v>
      </c>
      <c r="AI99" s="642" t="s">
        <v>218</v>
      </c>
      <c r="AJ99" s="643"/>
      <c r="AK99" s="122" t="s">
        <v>114</v>
      </c>
      <c r="AL99" s="131" t="s">
        <v>116</v>
      </c>
      <c r="AM99" s="131" t="s">
        <v>118</v>
      </c>
      <c r="AN99" s="131" t="s">
        <v>119</v>
      </c>
      <c r="AO99" s="132" t="s">
        <v>120</v>
      </c>
      <c r="AP99" s="117" t="s">
        <v>121</v>
      </c>
      <c r="AQ99" s="123" t="s">
        <v>270</v>
      </c>
      <c r="AR99" s="126" t="s">
        <v>211</v>
      </c>
      <c r="AS99" s="127" t="s">
        <v>216</v>
      </c>
      <c r="AT99" s="123" t="s">
        <v>271</v>
      </c>
      <c r="AU99" s="126" t="s">
        <v>212</v>
      </c>
      <c r="AV99" s="127" t="s">
        <v>217</v>
      </c>
      <c r="AW99" s="123" t="s">
        <v>272</v>
      </c>
      <c r="AX99" s="126" t="s">
        <v>213</v>
      </c>
      <c r="AY99" s="127" t="s">
        <v>216</v>
      </c>
      <c r="AZ99" s="123" t="s">
        <v>273</v>
      </c>
      <c r="BA99" s="126" t="s">
        <v>214</v>
      </c>
      <c r="BB99" s="127" t="s">
        <v>215</v>
      </c>
      <c r="BC99" s="642" t="s">
        <v>218</v>
      </c>
      <c r="BD99" s="643"/>
    </row>
    <row r="100" spans="1:56" ht="11.25" customHeight="1" x14ac:dyDescent="0.3">
      <c r="A100" s="162"/>
      <c r="B100" s="365" t="s">
        <v>281</v>
      </c>
      <c r="C100" s="163"/>
      <c r="D100" s="163"/>
      <c r="E100" s="163"/>
      <c r="F100" s="366"/>
      <c r="G100" s="151"/>
      <c r="H100" s="162"/>
      <c r="I100" s="365" t="s">
        <v>281</v>
      </c>
      <c r="J100" s="163"/>
      <c r="K100" s="163"/>
      <c r="L100" s="163"/>
      <c r="M100" s="369"/>
      <c r="N100" s="153"/>
      <c r="Q100" s="119"/>
      <c r="R100" s="15"/>
      <c r="S100" s="15"/>
      <c r="T100" s="15"/>
      <c r="U100" s="15" t="b">
        <v>1</v>
      </c>
      <c r="V100" s="118" t="b">
        <v>1</v>
      </c>
      <c r="W100" s="15" t="b">
        <v>1</v>
      </c>
      <c r="X100" s="15" t="b">
        <v>1</v>
      </c>
      <c r="Y100" s="118"/>
      <c r="Z100" s="15" t="b">
        <v>1</v>
      </c>
      <c r="AA100" s="15" t="b">
        <v>1</v>
      </c>
      <c r="AB100" s="118"/>
      <c r="AC100" s="15" t="b">
        <v>1</v>
      </c>
      <c r="AD100" s="15" t="b">
        <v>1</v>
      </c>
      <c r="AE100" s="118"/>
      <c r="AF100" s="15" t="b">
        <v>0</v>
      </c>
      <c r="AG100" s="15" t="b">
        <v>0</v>
      </c>
      <c r="AH100" s="118"/>
      <c r="AI100" s="119"/>
      <c r="AJ100" s="118"/>
      <c r="AK100" s="119"/>
      <c r="AL100" s="15"/>
      <c r="AM100" s="15"/>
      <c r="AN100" s="15"/>
      <c r="AO100" s="15" t="b">
        <v>1</v>
      </c>
      <c r="AP100" s="118" t="b">
        <v>1</v>
      </c>
      <c r="AQ100" s="15" t="b">
        <v>1</v>
      </c>
      <c r="AR100" s="15" t="b">
        <v>1</v>
      </c>
      <c r="AS100" s="118"/>
      <c r="AT100" s="15" t="b">
        <v>1</v>
      </c>
      <c r="AU100" s="15" t="b">
        <v>1</v>
      </c>
      <c r="AV100" s="118"/>
      <c r="AW100" s="15" t="b">
        <v>1</v>
      </c>
      <c r="AX100" s="15" t="b">
        <v>1</v>
      </c>
      <c r="AY100" s="118"/>
      <c r="AZ100" s="15" t="b">
        <v>0</v>
      </c>
      <c r="BA100" s="15" t="b">
        <v>0</v>
      </c>
      <c r="BB100" s="118"/>
      <c r="BC100" s="119"/>
      <c r="BD100" s="118"/>
    </row>
    <row r="101" spans="1:56" ht="15.75" customHeight="1" x14ac:dyDescent="0.25">
      <c r="A101" s="162"/>
      <c r="B101" s="154" t="str">
        <f>IF(CÁLCULOS!B33="Interior",NA(),CÁLCULOS!B33)</f>
        <v>Superficie exterior</v>
      </c>
      <c r="C101" s="160" t="e">
        <f t="array" ref="C101:C113">IF($Y$101:$Y$113&gt;0,"X","")</f>
        <v>#N/A</v>
      </c>
      <c r="D101" s="161" t="e">
        <f t="array" ref="D101:D113">IF($AB$101:$AB$113&gt;0,"X","")</f>
        <v>#N/A</v>
      </c>
      <c r="E101" s="161" t="e">
        <f t="array" ref="E101:E113">IF($AE$101:$AE$113&gt;0,"X","")</f>
        <v>#N/A</v>
      </c>
      <c r="F101" s="220" t="e">
        <f t="array" ref="F101:F113">IF($AH$101:$AH$113&gt;0,"X","")</f>
        <v>#N/A</v>
      </c>
      <c r="G101" s="153"/>
      <c r="H101" s="162"/>
      <c r="I101" s="154" t="str">
        <f>IF(CÁLCULOS!BG33="Interior",NA(),CÁLCULOS!BG33)</f>
        <v>Superficie exterior</v>
      </c>
      <c r="J101" s="160" t="e">
        <f t="array" ref="J101:J113">IF($AS$101:$AS$113&gt;0,"X","")</f>
        <v>#N/A</v>
      </c>
      <c r="K101" s="161" t="e">
        <f t="array" ref="K101:K113">IF($AV$101:$AV$113&gt;0,"X","")</f>
        <v>#N/A</v>
      </c>
      <c r="L101" s="161" t="e">
        <f t="array" ref="L101:L113">IF($AY$101:$AY$113&gt;0,"X","")</f>
        <v>#N/A</v>
      </c>
      <c r="M101" s="222" t="e">
        <f t="array" ref="M101:M113">IF($BB$101:$BB$113&gt;0,"X","")</f>
        <v>#N/A</v>
      </c>
      <c r="N101" s="153"/>
      <c r="P101" s="1">
        <v>0</v>
      </c>
      <c r="Q101" s="119"/>
      <c r="R101" s="15">
        <f t="array" ref="R101:R113">CÁLCULOS!$G$33:$G$45</f>
        <v>0</v>
      </c>
      <c r="S101" s="15">
        <f t="array" ref="S101:S113">CÁLCULOS!$I$33:$I$45</f>
        <v>0</v>
      </c>
      <c r="T101" s="15">
        <f t="array" ref="T101:T113">CÁLCULOS!$J$33:$J$45</f>
        <v>0</v>
      </c>
      <c r="U101" s="139" t="e">
        <f t="array" ref="U101:U113">IF(U100,CÁLCULOS!$K$33:$K$45,NA())</f>
        <v>#N/A</v>
      </c>
      <c r="V101" s="140" t="e">
        <f t="array" ref="V101:V113">IF(V100,CÁLCULOS!$L$33:$L$45,NA())</f>
        <v>#N/A</v>
      </c>
      <c r="W101" s="143" t="e">
        <f t="array" ref="W101:W113">IF(W$100,CÁLCULOS!M$33:M$45,NA())</f>
        <v>#N/A</v>
      </c>
      <c r="X101" s="51" t="e">
        <f t="array" aca="1" ref="X101:X113" ca="1">IF(X$100,IF(Seccion2!$R$56,CÁLCULOS!$P$33:$P$45,CÁLCULOS!$N$33:$N$45),NA())</f>
        <v>#N/A</v>
      </c>
      <c r="Y101" s="120" t="e">
        <f t="array" ref="Y101:Y113">CÁLCULOS!$O$33:$O$45</f>
        <v>#N/A</v>
      </c>
      <c r="Z101" s="143" t="e">
        <f t="array" ref="Z101:Z113">IF(Z$100,CÁLCULOS!X$33:X$45,NA())</f>
        <v>#N/A</v>
      </c>
      <c r="AA101" s="51" t="e">
        <f t="array" aca="1" ref="AA101:AA113" ca="1">IF($AA$100,IF(Seccion2!$R$56,CÁLCULOS!$AG$33:$AG$45,CÁLCULOS!$Y$33:$Y$45),NA())</f>
        <v>#N/A</v>
      </c>
      <c r="AB101" s="120" t="e">
        <f t="array" ref="AB101:AB113">CÁLCULOS!$Z$33:$Z$45</f>
        <v>#N/A</v>
      </c>
      <c r="AC101" s="143" t="e">
        <f t="array" ref="AC101:AC113">IF(AC$100,CÁLCULOS!AI$33:AI$45,NA())</f>
        <v>#N/A</v>
      </c>
      <c r="AD101" s="51" t="e">
        <f t="array" aca="1" ref="AD101:AD113" ca="1">IF($AD$100,IF(Seccion2!$R$56,CÁLCULOS!$AR$33:$AR$45,CÁLCULOS!$AJ$33:$AJ$45),NA())</f>
        <v>#N/A</v>
      </c>
      <c r="AE101" s="120" t="e">
        <f t="array" ref="AE101:AE113">CÁLCULOS!$AK$33:$AK$45</f>
        <v>#N/A</v>
      </c>
      <c r="AF101" s="143" t="e">
        <f t="array" ref="AF101:AF113">IF(AF$100,CÁLCULOS!AT$33:AT$45,NA())</f>
        <v>#N/A</v>
      </c>
      <c r="AG101" s="51" t="e">
        <f t="array" ref="AG101:AG113">IF($AG$100,IF(Seccion2!$R$56,CÁLCULOS!$BC$33:$BC$45,CÁLCULOS!$AU$33:$AU$45),NA())</f>
        <v>#N/A</v>
      </c>
      <c r="AH101" s="120" t="e">
        <f t="array" ref="AH101:AH113">CÁLCULOS!$AV$33:$AV$45</f>
        <v>#N/A</v>
      </c>
      <c r="AI101" s="121" t="e">
        <f>IF(IF(ISNUMBER(Seccion2!Y101),Seccion2!Y101,0)+IF(ISNUMBER(Seccion2!AB101),Seccion2!AB101,0)+IF(ISNUMBER(Seccion2!AE101),Seccion2!AE101,0)&gt;0,Seccion2!V101,NA())</f>
        <v>#N/A</v>
      </c>
      <c r="AJ101" s="120" t="e">
        <f>IF(AI101&gt;0,CHOOSE(Seccion2!Y101+Seccion2!AB101+Seccion2!AE101,"cond. a HR = "&amp;(VLOOKUP(3,φi[],2,)*100)&amp;"%","cond. a HR = "&amp;(VLOOKUP(2,φi[],2,)*100)&amp;"% y "&amp;(VLOOKUP(3,φi[],2,)*100)&amp;"%","cond. a HR = "&amp;(VLOOKUP(1,φi[],2,)*100)&amp;"%, "&amp;(VLOOKUP(2,φi[],2,)*100)&amp;"% y "&amp;(VLOOKUP(3,φi[],2,)*100)&amp;"%"),NA())</f>
        <v>#N/A</v>
      </c>
      <c r="AK101" s="133"/>
      <c r="AL101" s="48">
        <f t="array" ref="AL101:AL113">CÁLCULOS!$BL$33:$BL$45</f>
        <v>0</v>
      </c>
      <c r="AM101" s="48">
        <f t="array" ref="AM101:AM113">CÁLCULOS!$BN$33:$BN$45</f>
        <v>0</v>
      </c>
      <c r="AN101" s="15">
        <f t="array" ref="AN101:AN113">CÁLCULOS!$BO$33:$BO$45</f>
        <v>0</v>
      </c>
      <c r="AO101" s="51" t="e">
        <f t="array" ref="AO101:AO113">IF(AO100,CÁLCULOS!$BP$33:$BP$45,NA())</f>
        <v>#N/A</v>
      </c>
      <c r="AP101" s="140" t="e">
        <f t="array" ref="AP101:AP113">IF(AP100,CÁLCULOS!$BQ$33:$BQ$45,NA())</f>
        <v>#N/A</v>
      </c>
      <c r="AQ101" s="143" t="e">
        <f t="array" ref="AQ101:AQ113">IF(AQ$100,CÁLCULOS!BR$33:BR$45,NA())</f>
        <v>#N/A</v>
      </c>
      <c r="AR101" s="51" t="e">
        <f t="array" aca="1" ref="AR101:AR113" ca="1">IF(AR$100,IF(Seccion2!$R$56,CÁLCULOS!$CA$33:$CA$45,CÁLCULOS!$BS$33:$BS$45),NA())</f>
        <v>#N/A</v>
      </c>
      <c r="AS101" s="120" t="e">
        <f t="array" ref="AS101:AS113">CÁLCULOS!$BT$33:$BT$45</f>
        <v>#N/A</v>
      </c>
      <c r="AT101" s="143" t="e">
        <f t="array" ref="AT101:AT113">IF(AT$100,CÁLCULOS!CC33:CC45,NA())</f>
        <v>#N/A</v>
      </c>
      <c r="AU101" s="51" t="e">
        <f t="array" aca="1" ref="AU101:AU113" ca="1">IF(AU$100,IF(Seccion2!$R$56,CÁLCULOS!$CL$33:$CL$45,CÁLCULOS!$CD$33:$CD$45),NA())</f>
        <v>#N/A</v>
      </c>
      <c r="AV101" s="120" t="e">
        <f t="array" ref="AV101:AV113">CÁLCULOS!CE33:CE45</f>
        <v>#N/A</v>
      </c>
      <c r="AW101" s="143" t="e">
        <f t="array" ref="AW101:AW113">IF(AW$100,CÁLCULOS!CN$33:CN$45,NA())</f>
        <v>#N/A</v>
      </c>
      <c r="AX101" s="51" t="e">
        <f t="array" aca="1" ref="AX101:AX113" ca="1">IF(AX$100,IF(Seccion2!$R$56,CÁLCULOS!$CW$33:$CW$45,CÁLCULOS!$CO$33:$CO$45),NA())</f>
        <v>#N/A</v>
      </c>
      <c r="AY101" s="128" t="e">
        <f t="array" ref="AY101:AY113">CÁLCULOS!CP33:CP45</f>
        <v>#N/A</v>
      </c>
      <c r="AZ101" s="143" t="e">
        <f t="array" ref="AZ101:AZ113">IF(AZ100,CÁLCULOS!CY$33:CY$45,NA())</f>
        <v>#N/A</v>
      </c>
      <c r="BA101" s="51" t="e">
        <f t="array" ref="BA101:BA113">IF(BA$100,IF(Seccion2!$R$56,CÁLCULOS!$DH$33:$DH$45,CÁLCULOS!$CZ$33:$CZ$45),NA())</f>
        <v>#N/A</v>
      </c>
      <c r="BB101" s="128" t="e">
        <f t="array" ref="BB101:BB113">CÁLCULOS!DA33:DA45</f>
        <v>#N/A</v>
      </c>
      <c r="BC101" s="121" t="e">
        <f>IF(IF(ISNUMBER(Seccion2!AS101),Seccion2!AS101,0)+IF(ISNUMBER(Seccion2!AV101),Seccion2!AV101,0)+IF(ISNUMBER(Seccion2!AY101),Seccion2!AY101,0)&gt;0,Seccion2!AP101,NA())</f>
        <v>#N/A</v>
      </c>
      <c r="BD101" s="120" t="e">
        <f>IF(BC101&gt;0,CHOOSE(Seccion2!AS101+Seccion2!AV101+Seccion2!AY101,"cond. a HR = "&amp;(VLOOKUP(3,φi[],2,)*100)&amp;"%","cond. a HR = "&amp;(VLOOKUP(2,φi[],2,)*100)&amp;"% y "&amp;(VLOOKUP(3,φi[],2,)*100)&amp;"%","cond. a HR = "&amp;(VLOOKUP(1,φi[],2,)*100)&amp;"%, "&amp;(VLOOKUP(2,φi[],2,)*100)&amp;"% y "&amp;(VLOOKUP(3,φi[],2,)*100)&amp;"%"),NA())</f>
        <v>#N/A</v>
      </c>
    </row>
    <row r="102" spans="1:56" ht="15.75" x14ac:dyDescent="0.25">
      <c r="A102" s="162"/>
      <c r="B102" s="154" t="e">
        <f>IF(CÁLCULOS!B34="Interior",NA(),CÁLCULOS!B34)</f>
        <v>#N/A</v>
      </c>
      <c r="C102" s="160" t="e">
        <v>#N/A</v>
      </c>
      <c r="D102" s="161" t="e">
        <v>#N/A</v>
      </c>
      <c r="E102" s="161" t="e">
        <v>#N/A</v>
      </c>
      <c r="F102" s="220" t="e">
        <v>#N/A</v>
      </c>
      <c r="G102" s="153"/>
      <c r="H102" s="162"/>
      <c r="I102" s="154" t="e">
        <f>IF(CÁLCULOS!BG34="Interior",NA(),CÁLCULOS!BG34)</f>
        <v>#N/A</v>
      </c>
      <c r="J102" s="160" t="e">
        <v>#N/A</v>
      </c>
      <c r="K102" s="161" t="e">
        <v>#N/A</v>
      </c>
      <c r="L102" s="161" t="e">
        <v>#N/A</v>
      </c>
      <c r="M102" s="222" t="e">
        <v>#N/A</v>
      </c>
      <c r="N102" s="153"/>
      <c r="P102" s="1">
        <v>1</v>
      </c>
      <c r="Q102" s="119" t="e">
        <f t="array" ref="Q102:Q113">CÁLCULOS!d_AT2_C1</f>
        <v>#N/A</v>
      </c>
      <c r="R102" s="15" t="e">
        <v>#N/A</v>
      </c>
      <c r="S102" s="15" t="e">
        <v>#N/A</v>
      </c>
      <c r="T102" s="15" t="e">
        <v>#N/A</v>
      </c>
      <c r="U102" s="139" t="e">
        <v>#N/A</v>
      </c>
      <c r="V102" s="140" t="e">
        <v>#N/A</v>
      </c>
      <c r="W102" s="143" t="e">
        <v>#N/A</v>
      </c>
      <c r="X102" s="51" t="e">
        <f ca="1"/>
        <v>#N/A</v>
      </c>
      <c r="Y102" s="120" t="e">
        <v>#N/A</v>
      </c>
      <c r="Z102" s="143" t="e">
        <v>#N/A</v>
      </c>
      <c r="AA102" s="51" t="e">
        <f ca="1"/>
        <v>#N/A</v>
      </c>
      <c r="AB102" s="120" t="e">
        <v>#N/A</v>
      </c>
      <c r="AC102" s="143" t="e">
        <v>#N/A</v>
      </c>
      <c r="AD102" s="51" t="e">
        <f ca="1"/>
        <v>#N/A</v>
      </c>
      <c r="AE102" s="120" t="e">
        <v>#N/A</v>
      </c>
      <c r="AF102" s="143" t="e">
        <v>#N/A</v>
      </c>
      <c r="AG102" s="51" t="e">
        <v>#N/A</v>
      </c>
      <c r="AH102" s="120" t="e">
        <v>#N/A</v>
      </c>
      <c r="AI102" s="121" t="e">
        <f>IF(IF(ISNUMBER(Seccion2!Y102),Seccion2!Y102,0)+IF(ISNUMBER(Seccion2!AB102),Seccion2!AB102,0)+IF(ISNUMBER(Seccion2!AE102),Seccion2!AE102,0)&gt;0,Seccion2!V102,NA())</f>
        <v>#N/A</v>
      </c>
      <c r="AJ102" s="120" t="e">
        <f>IF(AI102&gt;0,CHOOSE(Seccion2!Y102+Seccion2!AB102+Seccion2!AE102,"cond. a HR = "&amp;(VLOOKUP(3,φi[],2,)*100)&amp;"%","cond. a HR = "&amp;(VLOOKUP(2,φi[],2,)*100)&amp;"% y "&amp;(VLOOKUP(3,φi[],2,)*100)&amp;"%","cond. a HR = "&amp;(VLOOKUP(1,φi[],2,)*100)&amp;"%, "&amp;(VLOOKUP(2,φi[],2,)*100)&amp;"% y "&amp;(VLOOKUP(3,φi[],2,)*100)&amp;"%"),NA())</f>
        <v>#N/A</v>
      </c>
      <c r="AK102" s="119" t="e">
        <f t="array" ref="AK102:AK113">CÁLCULOS!d_AT2_C2</f>
        <v>#N/A</v>
      </c>
      <c r="AL102" s="15" t="e">
        <v>#N/A</v>
      </c>
      <c r="AM102" s="48" t="e">
        <v>#N/A</v>
      </c>
      <c r="AN102" s="15" t="e">
        <v>#N/A</v>
      </c>
      <c r="AO102" s="51" t="e">
        <v>#N/A</v>
      </c>
      <c r="AP102" s="140" t="e">
        <v>#N/A</v>
      </c>
      <c r="AQ102" s="143" t="e">
        <v>#N/A</v>
      </c>
      <c r="AR102" s="51" t="e">
        <f ca="1"/>
        <v>#N/A</v>
      </c>
      <c r="AS102" s="120" t="e">
        <v>#N/A</v>
      </c>
      <c r="AT102" s="143" t="e">
        <v>#N/A</v>
      </c>
      <c r="AU102" s="51" t="e">
        <f ca="1"/>
        <v>#N/A</v>
      </c>
      <c r="AV102" s="120" t="e">
        <v>#N/A</v>
      </c>
      <c r="AW102" s="143" t="e">
        <v>#N/A</v>
      </c>
      <c r="AX102" s="51" t="e">
        <f ca="1"/>
        <v>#N/A</v>
      </c>
      <c r="AY102" s="128" t="e">
        <v>#N/A</v>
      </c>
      <c r="AZ102" s="143" t="e">
        <v>#N/A</v>
      </c>
      <c r="BA102" s="51" t="e">
        <v>#N/A</v>
      </c>
      <c r="BB102" s="128" t="e">
        <v>#N/A</v>
      </c>
      <c r="BC102" s="121" t="e">
        <f>IF(IF(ISNUMBER(Seccion2!AS102),Seccion2!AS102,0)+IF(ISNUMBER(Seccion2!AV102),Seccion2!AV102,0)+IF(ISNUMBER(Seccion2!AY102),Seccion2!AY102,0)&gt;0,Seccion2!AP102,NA())</f>
        <v>#N/A</v>
      </c>
      <c r="BD102" s="120" t="e">
        <f>IF(BC102&gt;0,CHOOSE(Seccion2!AS102+Seccion2!AV102+Seccion2!AY102,"cond. a HR = "&amp;(VLOOKUP(3,φi[],2,)*100)&amp;"%","cond. a HR = "&amp;(VLOOKUP(2,φi[],2,)*100)&amp;"% y "&amp;(VLOOKUP(3,φi[],2,)*100)&amp;"%","cond. a HR = "&amp;(VLOOKUP(1,φi[],2,)*100)&amp;"%, "&amp;(VLOOKUP(2,φi[],2,)*100)&amp;"% y "&amp;(VLOOKUP(3,φi[],2,)*100)&amp;"%"),NA())</f>
        <v>#N/A</v>
      </c>
    </row>
    <row r="103" spans="1:56" ht="15.75" x14ac:dyDescent="0.25">
      <c r="A103" s="162"/>
      <c r="B103" s="154" t="e">
        <f>IF(CÁLCULOS!B35="Interior",NA(),CÁLCULOS!B35)</f>
        <v>#N/A</v>
      </c>
      <c r="C103" s="160" t="e">
        <v>#N/A</v>
      </c>
      <c r="D103" s="161" t="e">
        <v>#N/A</v>
      </c>
      <c r="E103" s="161" t="e">
        <v>#N/A</v>
      </c>
      <c r="F103" s="221" t="e">
        <v>#N/A</v>
      </c>
      <c r="G103" s="153"/>
      <c r="H103" s="162"/>
      <c r="I103" s="154" t="e">
        <f>IF(CÁLCULOS!BG35="Interior",NA(),CÁLCULOS!BG35)</f>
        <v>#N/A</v>
      </c>
      <c r="J103" s="160" t="e">
        <v>#N/A</v>
      </c>
      <c r="K103" s="161" t="e">
        <v>#N/A</v>
      </c>
      <c r="L103" s="161" t="e">
        <v>#N/A</v>
      </c>
      <c r="M103" s="223" t="e">
        <v>#N/A</v>
      </c>
      <c r="N103" s="153"/>
      <c r="P103" s="1">
        <v>2</v>
      </c>
      <c r="Q103" s="119" t="e">
        <v>#N/A</v>
      </c>
      <c r="R103" s="15" t="e">
        <v>#N/A</v>
      </c>
      <c r="S103" s="15" t="e">
        <v>#N/A</v>
      </c>
      <c r="T103" s="15" t="e">
        <v>#N/A</v>
      </c>
      <c r="U103" s="139" t="e">
        <v>#N/A</v>
      </c>
      <c r="V103" s="140" t="e">
        <v>#N/A</v>
      </c>
      <c r="W103" s="143" t="e">
        <v>#N/A</v>
      </c>
      <c r="X103" s="51" t="e">
        <f ca="1"/>
        <v>#N/A</v>
      </c>
      <c r="Y103" s="120" t="e">
        <v>#N/A</v>
      </c>
      <c r="Z103" s="143" t="e">
        <v>#N/A</v>
      </c>
      <c r="AA103" s="51" t="e">
        <f ca="1"/>
        <v>#N/A</v>
      </c>
      <c r="AB103" s="120" t="e">
        <v>#N/A</v>
      </c>
      <c r="AC103" s="143" t="e">
        <v>#N/A</v>
      </c>
      <c r="AD103" s="51" t="e">
        <f ca="1"/>
        <v>#N/A</v>
      </c>
      <c r="AE103" s="120" t="e">
        <v>#N/A</v>
      </c>
      <c r="AF103" s="143" t="e">
        <v>#N/A</v>
      </c>
      <c r="AG103" s="51" t="e">
        <v>#N/A</v>
      </c>
      <c r="AH103" s="120" t="e">
        <v>#N/A</v>
      </c>
      <c r="AI103" s="121" t="e">
        <f>IF(IF(ISNUMBER(Seccion2!Y103),Seccion2!Y103,0)+IF(ISNUMBER(Seccion2!AB103),Seccion2!AB103,0)+IF(ISNUMBER(Seccion2!AE103),Seccion2!AE103,0)&gt;0,Seccion2!V103,NA())</f>
        <v>#N/A</v>
      </c>
      <c r="AJ103" s="120" t="e">
        <f>IF(AI103&gt;0,CHOOSE(Seccion2!Y103+Seccion2!AB103+Seccion2!AE103,"cond. a HR = "&amp;(VLOOKUP(3,φi[],2,)*100)&amp;"%","cond. a HR = "&amp;(VLOOKUP(2,φi[],2,)*100)&amp;"% y "&amp;(VLOOKUP(3,φi[],2,)*100)&amp;"%","cond. a HR = "&amp;(VLOOKUP(1,φi[],2,)*100)&amp;"%, "&amp;(VLOOKUP(2,φi[],2,)*100)&amp;"% y "&amp;(VLOOKUP(3,φi[],2,)*100)&amp;"%"),NA())</f>
        <v>#N/A</v>
      </c>
      <c r="AK103" s="119" t="e">
        <v>#N/A</v>
      </c>
      <c r="AL103" s="15" t="e">
        <v>#N/A</v>
      </c>
      <c r="AM103" s="48" t="e">
        <v>#N/A</v>
      </c>
      <c r="AN103" s="15" t="e">
        <v>#N/A</v>
      </c>
      <c r="AO103" s="51" t="e">
        <v>#N/A</v>
      </c>
      <c r="AP103" s="140" t="e">
        <v>#N/A</v>
      </c>
      <c r="AQ103" s="143" t="e">
        <v>#N/A</v>
      </c>
      <c r="AR103" s="51" t="e">
        <f ca="1"/>
        <v>#N/A</v>
      </c>
      <c r="AS103" s="120" t="e">
        <v>#N/A</v>
      </c>
      <c r="AT103" s="143" t="e">
        <v>#N/A</v>
      </c>
      <c r="AU103" s="51" t="e">
        <f ca="1"/>
        <v>#N/A</v>
      </c>
      <c r="AV103" s="120" t="e">
        <v>#N/A</v>
      </c>
      <c r="AW103" s="143" t="e">
        <v>#N/A</v>
      </c>
      <c r="AX103" s="51" t="e">
        <f ca="1"/>
        <v>#N/A</v>
      </c>
      <c r="AY103" s="128" t="e">
        <v>#N/A</v>
      </c>
      <c r="AZ103" s="143" t="e">
        <v>#N/A</v>
      </c>
      <c r="BA103" s="51" t="e">
        <v>#N/A</v>
      </c>
      <c r="BB103" s="128" t="e">
        <v>#N/A</v>
      </c>
      <c r="BC103" s="121" t="e">
        <f>IF(IF(ISNUMBER(Seccion2!AS103),Seccion2!AS103,0)+IF(ISNUMBER(Seccion2!AV103),Seccion2!AV103,0)+IF(ISNUMBER(Seccion2!AY103),Seccion2!AY103,0)&gt;0,Seccion2!AP103,NA())</f>
        <v>#N/A</v>
      </c>
      <c r="BD103" s="120" t="e">
        <f>IF(BC103&gt;0,CHOOSE(Seccion2!AS103+Seccion2!AV103+Seccion2!AY103,"cond. a HR = "&amp;(VLOOKUP(3,φi[],2,)*100)&amp;"%","cond. a HR = "&amp;(VLOOKUP(2,φi[],2,)*100)&amp;"% y "&amp;(VLOOKUP(3,φi[],2,)*100)&amp;"%","cond. a HR = "&amp;(VLOOKUP(1,φi[],2,)*100)&amp;"%, "&amp;(VLOOKUP(2,φi[],2,)*100)&amp;"% y "&amp;(VLOOKUP(3,φi[],2,)*100)&amp;"%"),NA())</f>
        <v>#N/A</v>
      </c>
    </row>
    <row r="104" spans="1:56" ht="15.75" x14ac:dyDescent="0.25">
      <c r="A104" s="162"/>
      <c r="B104" s="154" t="e">
        <f>IF(CÁLCULOS!B36="Interior",NA(),CÁLCULOS!B36)</f>
        <v>#N/A</v>
      </c>
      <c r="C104" s="160" t="e">
        <v>#N/A</v>
      </c>
      <c r="D104" s="161" t="e">
        <v>#N/A</v>
      </c>
      <c r="E104" s="161" t="e">
        <v>#N/A</v>
      </c>
      <c r="F104" s="220" t="e">
        <v>#N/A</v>
      </c>
      <c r="G104" s="153"/>
      <c r="H104" s="162"/>
      <c r="I104" s="154" t="e">
        <f>IF(CÁLCULOS!BG36="Interior",NA(),CÁLCULOS!BG36)</f>
        <v>#N/A</v>
      </c>
      <c r="J104" s="160" t="e">
        <v>#N/A</v>
      </c>
      <c r="K104" s="161" t="e">
        <v>#N/A</v>
      </c>
      <c r="L104" s="161" t="e">
        <v>#N/A</v>
      </c>
      <c r="M104" s="222" t="e">
        <v>#N/A</v>
      </c>
      <c r="N104" s="153"/>
      <c r="P104" s="1">
        <v>3</v>
      </c>
      <c r="Q104" s="119" t="e">
        <v>#N/A</v>
      </c>
      <c r="R104" s="15" t="e">
        <v>#N/A</v>
      </c>
      <c r="S104" s="15" t="e">
        <v>#N/A</v>
      </c>
      <c r="T104" s="15" t="e">
        <v>#N/A</v>
      </c>
      <c r="U104" s="139" t="e">
        <v>#N/A</v>
      </c>
      <c r="V104" s="140" t="e">
        <v>#N/A</v>
      </c>
      <c r="W104" s="143" t="e">
        <v>#N/A</v>
      </c>
      <c r="X104" s="51" t="e">
        <f ca="1"/>
        <v>#N/A</v>
      </c>
      <c r="Y104" s="120" t="e">
        <v>#N/A</v>
      </c>
      <c r="Z104" s="143" t="e">
        <v>#N/A</v>
      </c>
      <c r="AA104" s="51" t="e">
        <f ca="1"/>
        <v>#N/A</v>
      </c>
      <c r="AB104" s="120" t="e">
        <v>#N/A</v>
      </c>
      <c r="AC104" s="143" t="e">
        <v>#N/A</v>
      </c>
      <c r="AD104" s="51" t="e">
        <f ca="1"/>
        <v>#N/A</v>
      </c>
      <c r="AE104" s="120" t="e">
        <v>#N/A</v>
      </c>
      <c r="AF104" s="143" t="e">
        <v>#N/A</v>
      </c>
      <c r="AG104" s="51" t="e">
        <v>#N/A</v>
      </c>
      <c r="AH104" s="120" t="e">
        <v>#N/A</v>
      </c>
      <c r="AI104" s="121" t="e">
        <f>IF(IF(ISNUMBER(Seccion2!Y104),Seccion2!Y104,0)+IF(ISNUMBER(Seccion2!AB104),Seccion2!AB104,0)+IF(ISNUMBER(Seccion2!AE104),Seccion2!AE104,0)&gt;0,Seccion2!V104,NA())</f>
        <v>#N/A</v>
      </c>
      <c r="AJ104" s="120" t="e">
        <f>IF(AI104&gt;0,CHOOSE(Seccion2!Y104+Seccion2!AB104+Seccion2!AE104,"cond. a HR = "&amp;(VLOOKUP(3,φi[],2,)*100)&amp;"%","cond. a HR = "&amp;(VLOOKUP(2,φi[],2,)*100)&amp;"% y "&amp;(VLOOKUP(3,φi[],2,)*100)&amp;"%","cond. a HR = "&amp;(VLOOKUP(1,φi[],2,)*100)&amp;"%, "&amp;(VLOOKUP(2,φi[],2,)*100)&amp;"% y "&amp;(VLOOKUP(3,φi[],2,)*100)&amp;"%"),NA())</f>
        <v>#N/A</v>
      </c>
      <c r="AK104" s="119" t="e">
        <v>#N/A</v>
      </c>
      <c r="AL104" s="15" t="e">
        <v>#N/A</v>
      </c>
      <c r="AM104" s="48" t="e">
        <v>#N/A</v>
      </c>
      <c r="AN104" s="15" t="e">
        <v>#N/A</v>
      </c>
      <c r="AO104" s="51" t="e">
        <v>#N/A</v>
      </c>
      <c r="AP104" s="140" t="e">
        <v>#N/A</v>
      </c>
      <c r="AQ104" s="143" t="e">
        <v>#N/A</v>
      </c>
      <c r="AR104" s="51" t="e">
        <f ca="1"/>
        <v>#N/A</v>
      </c>
      <c r="AS104" s="120" t="e">
        <v>#N/A</v>
      </c>
      <c r="AT104" s="143" t="e">
        <v>#N/A</v>
      </c>
      <c r="AU104" s="51" t="e">
        <f ca="1"/>
        <v>#N/A</v>
      </c>
      <c r="AV104" s="120" t="e">
        <v>#N/A</v>
      </c>
      <c r="AW104" s="143" t="e">
        <v>#N/A</v>
      </c>
      <c r="AX104" s="51" t="e">
        <f ca="1"/>
        <v>#N/A</v>
      </c>
      <c r="AY104" s="128" t="e">
        <v>#N/A</v>
      </c>
      <c r="AZ104" s="143" t="e">
        <v>#N/A</v>
      </c>
      <c r="BA104" s="51" t="e">
        <v>#N/A</v>
      </c>
      <c r="BB104" s="128" t="e">
        <v>#N/A</v>
      </c>
      <c r="BC104" s="121" t="e">
        <f>IF(IF(ISNUMBER(Seccion2!AS104),Seccion2!AS104,0)+IF(ISNUMBER(Seccion2!AV104),Seccion2!AV104,0)+IF(ISNUMBER(Seccion2!AY104),Seccion2!AY104,0)&gt;0,Seccion2!AP104,NA())</f>
        <v>#N/A</v>
      </c>
      <c r="BD104" s="120" t="e">
        <f>IF(BC104&gt;0,CHOOSE(Seccion2!AS104+Seccion2!AV104+Seccion2!AY104,"cond. a HR = "&amp;(VLOOKUP(3,φi[],2,)*100)&amp;"%","cond. a HR = "&amp;(VLOOKUP(2,φi[],2,)*100)&amp;"% y "&amp;(VLOOKUP(3,φi[],2,)*100)&amp;"%","cond. a HR = "&amp;(VLOOKUP(1,φi[],2,)*100)&amp;"%, "&amp;(VLOOKUP(2,φi[],2,)*100)&amp;"% y "&amp;(VLOOKUP(3,φi[],2,)*100)&amp;"%"),NA())</f>
        <v>#N/A</v>
      </c>
    </row>
    <row r="105" spans="1:56" ht="15.75" x14ac:dyDescent="0.25">
      <c r="A105" s="162"/>
      <c r="B105" s="154" t="e">
        <f>IF(CÁLCULOS!B37="Interior",NA(),CÁLCULOS!B37)</f>
        <v>#N/A</v>
      </c>
      <c r="C105" s="160" t="e">
        <v>#N/A</v>
      </c>
      <c r="D105" s="161" t="e">
        <v>#N/A</v>
      </c>
      <c r="E105" s="161" t="e">
        <v>#N/A</v>
      </c>
      <c r="F105" s="221" t="e">
        <v>#N/A</v>
      </c>
      <c r="G105" s="153"/>
      <c r="H105" s="162"/>
      <c r="I105" s="154" t="e">
        <f>IF(CÁLCULOS!BG37="Interior",NA(),CÁLCULOS!BG37)</f>
        <v>#N/A</v>
      </c>
      <c r="J105" s="160" t="e">
        <v>#N/A</v>
      </c>
      <c r="K105" s="161" t="e">
        <v>#N/A</v>
      </c>
      <c r="L105" s="161" t="e">
        <v>#N/A</v>
      </c>
      <c r="M105" s="223" t="e">
        <v>#N/A</v>
      </c>
      <c r="N105" s="153"/>
      <c r="P105" s="1">
        <v>4</v>
      </c>
      <c r="Q105" s="119" t="e">
        <v>#N/A</v>
      </c>
      <c r="R105" s="15" t="e">
        <v>#N/A</v>
      </c>
      <c r="S105" s="15" t="e">
        <v>#N/A</v>
      </c>
      <c r="T105" s="15" t="e">
        <v>#N/A</v>
      </c>
      <c r="U105" s="139" t="e">
        <v>#N/A</v>
      </c>
      <c r="V105" s="140" t="e">
        <v>#N/A</v>
      </c>
      <c r="W105" s="143" t="e">
        <v>#N/A</v>
      </c>
      <c r="X105" s="51" t="e">
        <f ca="1"/>
        <v>#N/A</v>
      </c>
      <c r="Y105" s="120" t="e">
        <v>#N/A</v>
      </c>
      <c r="Z105" s="143" t="e">
        <v>#N/A</v>
      </c>
      <c r="AA105" s="51" t="e">
        <f ca="1"/>
        <v>#N/A</v>
      </c>
      <c r="AB105" s="120" t="e">
        <v>#N/A</v>
      </c>
      <c r="AC105" s="143" t="e">
        <v>#N/A</v>
      </c>
      <c r="AD105" s="51" t="e">
        <f ca="1"/>
        <v>#N/A</v>
      </c>
      <c r="AE105" s="120" t="e">
        <v>#N/A</v>
      </c>
      <c r="AF105" s="143" t="e">
        <v>#N/A</v>
      </c>
      <c r="AG105" s="51" t="e">
        <v>#N/A</v>
      </c>
      <c r="AH105" s="120" t="e">
        <v>#N/A</v>
      </c>
      <c r="AI105" s="121" t="e">
        <f>IF(IF(ISNUMBER(Seccion2!Y105),Seccion2!Y105,0)+IF(ISNUMBER(Seccion2!AB105),Seccion2!AB105,0)+IF(ISNUMBER(Seccion2!AE105),Seccion2!AE105,0)&gt;0,Seccion2!V105,NA())</f>
        <v>#N/A</v>
      </c>
      <c r="AJ105" s="120" t="e">
        <f>IF(AI105&gt;0,CHOOSE(Seccion2!Y105+Seccion2!AB105+Seccion2!AE105,"cond. a HR = "&amp;(VLOOKUP(3,φi[],2,)*100)&amp;"%","cond. a HR = "&amp;(VLOOKUP(2,φi[],2,)*100)&amp;"% y "&amp;(VLOOKUP(3,φi[],2,)*100)&amp;"%","cond. a HR = "&amp;(VLOOKUP(1,φi[],2,)*100)&amp;"%, "&amp;(VLOOKUP(2,φi[],2,)*100)&amp;"% y "&amp;(VLOOKUP(3,φi[],2,)*100)&amp;"%"),NA())</f>
        <v>#N/A</v>
      </c>
      <c r="AK105" s="119" t="e">
        <v>#N/A</v>
      </c>
      <c r="AL105" s="15" t="e">
        <v>#N/A</v>
      </c>
      <c r="AM105" s="48" t="e">
        <v>#N/A</v>
      </c>
      <c r="AN105" s="15" t="e">
        <v>#N/A</v>
      </c>
      <c r="AO105" s="51" t="e">
        <v>#N/A</v>
      </c>
      <c r="AP105" s="140" t="e">
        <v>#N/A</v>
      </c>
      <c r="AQ105" s="143" t="e">
        <v>#N/A</v>
      </c>
      <c r="AR105" s="51" t="e">
        <f ca="1"/>
        <v>#N/A</v>
      </c>
      <c r="AS105" s="120" t="e">
        <v>#N/A</v>
      </c>
      <c r="AT105" s="143" t="e">
        <v>#N/A</v>
      </c>
      <c r="AU105" s="51" t="e">
        <f ca="1"/>
        <v>#N/A</v>
      </c>
      <c r="AV105" s="120" t="e">
        <v>#N/A</v>
      </c>
      <c r="AW105" s="143" t="e">
        <v>#N/A</v>
      </c>
      <c r="AX105" s="51" t="e">
        <f ca="1"/>
        <v>#N/A</v>
      </c>
      <c r="AY105" s="128" t="e">
        <v>#N/A</v>
      </c>
      <c r="AZ105" s="143" t="e">
        <v>#N/A</v>
      </c>
      <c r="BA105" s="51" t="e">
        <v>#N/A</v>
      </c>
      <c r="BB105" s="128" t="e">
        <v>#N/A</v>
      </c>
      <c r="BC105" s="121" t="e">
        <f>IF(IF(ISNUMBER(Seccion2!AS105),Seccion2!AS105,0)+IF(ISNUMBER(Seccion2!AV105),Seccion2!AV105,0)+IF(ISNUMBER(Seccion2!AY105),Seccion2!AY105,0)&gt;0,Seccion2!AP105,NA())</f>
        <v>#N/A</v>
      </c>
      <c r="BD105" s="120" t="e">
        <f>IF(BC105&gt;0,CHOOSE(Seccion2!AS105+Seccion2!AV105+Seccion2!AY105,"cond. a HR = "&amp;(VLOOKUP(3,φi[],2,)*100)&amp;"%","cond. a HR = "&amp;(VLOOKUP(2,φi[],2,)*100)&amp;"% y "&amp;(VLOOKUP(3,φi[],2,)*100)&amp;"%","cond. a HR = "&amp;(VLOOKUP(1,φi[],2,)*100)&amp;"%, "&amp;(VLOOKUP(2,φi[],2,)*100)&amp;"% y "&amp;(VLOOKUP(3,φi[],2,)*100)&amp;"%"),NA())</f>
        <v>#N/A</v>
      </c>
    </row>
    <row r="106" spans="1:56" ht="15.75" x14ac:dyDescent="0.25">
      <c r="A106" s="162"/>
      <c r="B106" s="154" t="e">
        <f>IF(CÁLCULOS!B38="Interior",NA(),CÁLCULOS!B38)</f>
        <v>#N/A</v>
      </c>
      <c r="C106" s="160" t="e">
        <v>#N/A</v>
      </c>
      <c r="D106" s="161" t="e">
        <v>#N/A</v>
      </c>
      <c r="E106" s="161" t="e">
        <v>#N/A</v>
      </c>
      <c r="F106" s="220" t="e">
        <v>#N/A</v>
      </c>
      <c r="G106" s="153"/>
      <c r="H106" s="162"/>
      <c r="I106" s="154" t="e">
        <f>IF(CÁLCULOS!BG38="Interior",NA(),CÁLCULOS!BG38)</f>
        <v>#N/A</v>
      </c>
      <c r="J106" s="160" t="e">
        <v>#N/A</v>
      </c>
      <c r="K106" s="161" t="e">
        <v>#N/A</v>
      </c>
      <c r="L106" s="161" t="e">
        <v>#N/A</v>
      </c>
      <c r="M106" s="222" t="e">
        <v>#N/A</v>
      </c>
      <c r="N106" s="153"/>
      <c r="P106" s="1">
        <v>5</v>
      </c>
      <c r="Q106" s="119" t="e">
        <v>#N/A</v>
      </c>
      <c r="R106" s="15" t="e">
        <v>#N/A</v>
      </c>
      <c r="S106" s="15" t="e">
        <v>#N/A</v>
      </c>
      <c r="T106" s="15" t="e">
        <v>#N/A</v>
      </c>
      <c r="U106" s="139" t="e">
        <v>#N/A</v>
      </c>
      <c r="V106" s="140" t="e">
        <v>#N/A</v>
      </c>
      <c r="W106" s="143" t="e">
        <v>#N/A</v>
      </c>
      <c r="X106" s="51" t="e">
        <f ca="1"/>
        <v>#N/A</v>
      </c>
      <c r="Y106" s="120" t="e">
        <v>#N/A</v>
      </c>
      <c r="Z106" s="143" t="e">
        <v>#N/A</v>
      </c>
      <c r="AA106" s="51" t="e">
        <f ca="1"/>
        <v>#N/A</v>
      </c>
      <c r="AB106" s="120" t="e">
        <v>#N/A</v>
      </c>
      <c r="AC106" s="143" t="e">
        <v>#N/A</v>
      </c>
      <c r="AD106" s="51" t="e">
        <f ca="1"/>
        <v>#N/A</v>
      </c>
      <c r="AE106" s="120" t="e">
        <v>#N/A</v>
      </c>
      <c r="AF106" s="143" t="e">
        <v>#N/A</v>
      </c>
      <c r="AG106" s="51" t="e">
        <v>#N/A</v>
      </c>
      <c r="AH106" s="120" t="e">
        <v>#N/A</v>
      </c>
      <c r="AI106" s="121" t="e">
        <f>IF(IF(ISNUMBER(Seccion2!Y106),Seccion2!Y106,0)+IF(ISNUMBER(Seccion2!AB106),Seccion2!AB106,0)+IF(ISNUMBER(Seccion2!AE106),Seccion2!AE106,0)&gt;0,Seccion2!V106,NA())</f>
        <v>#N/A</v>
      </c>
      <c r="AJ106" s="120" t="e">
        <f>IF(AI106&gt;0,CHOOSE(Seccion2!Y106+Seccion2!AB106+Seccion2!AE106,"cond. a HR = "&amp;(VLOOKUP(3,φi[],2,)*100)&amp;"%","cond. a HR = "&amp;(VLOOKUP(2,φi[],2,)*100)&amp;"% y "&amp;(VLOOKUP(3,φi[],2,)*100)&amp;"%","cond. a HR = "&amp;(VLOOKUP(1,φi[],2,)*100)&amp;"%, "&amp;(VLOOKUP(2,φi[],2,)*100)&amp;"% y "&amp;(VLOOKUP(3,φi[],2,)*100)&amp;"%"),NA())</f>
        <v>#N/A</v>
      </c>
      <c r="AK106" s="119" t="e">
        <v>#N/A</v>
      </c>
      <c r="AL106" s="15" t="e">
        <v>#N/A</v>
      </c>
      <c r="AM106" s="48" t="e">
        <v>#N/A</v>
      </c>
      <c r="AN106" s="15" t="e">
        <v>#N/A</v>
      </c>
      <c r="AO106" s="51" t="e">
        <v>#N/A</v>
      </c>
      <c r="AP106" s="140" t="e">
        <v>#N/A</v>
      </c>
      <c r="AQ106" s="143" t="e">
        <v>#N/A</v>
      </c>
      <c r="AR106" s="51" t="e">
        <f ca="1"/>
        <v>#N/A</v>
      </c>
      <c r="AS106" s="120" t="e">
        <v>#N/A</v>
      </c>
      <c r="AT106" s="143" t="e">
        <v>#N/A</v>
      </c>
      <c r="AU106" s="51" t="e">
        <f ca="1"/>
        <v>#N/A</v>
      </c>
      <c r="AV106" s="120" t="e">
        <v>#N/A</v>
      </c>
      <c r="AW106" s="143" t="e">
        <v>#N/A</v>
      </c>
      <c r="AX106" s="51" t="e">
        <f ca="1"/>
        <v>#N/A</v>
      </c>
      <c r="AY106" s="128" t="e">
        <v>#N/A</v>
      </c>
      <c r="AZ106" s="143" t="e">
        <v>#N/A</v>
      </c>
      <c r="BA106" s="51" t="e">
        <v>#N/A</v>
      </c>
      <c r="BB106" s="128" t="e">
        <v>#N/A</v>
      </c>
      <c r="BC106" s="121" t="e">
        <f>IF(IF(ISNUMBER(Seccion2!AS106),Seccion2!AS106,0)+IF(ISNUMBER(Seccion2!AV106),Seccion2!AV106,0)+IF(ISNUMBER(Seccion2!AY106),Seccion2!AY106,0)&gt;0,Seccion2!AP106,NA())</f>
        <v>#N/A</v>
      </c>
      <c r="BD106" s="120" t="e">
        <f>IF(BC106&gt;0,CHOOSE(Seccion2!AS106+Seccion2!AV106+Seccion2!AY106,"cond. a HR = "&amp;(VLOOKUP(3,φi[],2,)*100)&amp;"%","cond. a HR = "&amp;(VLOOKUP(2,φi[],2,)*100)&amp;"% y "&amp;(VLOOKUP(3,φi[],2,)*100)&amp;"%","cond. a HR = "&amp;(VLOOKUP(1,φi[],2,)*100)&amp;"%, "&amp;(VLOOKUP(2,φi[],2,)*100)&amp;"% y "&amp;(VLOOKUP(3,φi[],2,)*100)&amp;"%"),NA())</f>
        <v>#N/A</v>
      </c>
    </row>
    <row r="107" spans="1:56" ht="15.75" x14ac:dyDescent="0.25">
      <c r="A107" s="162"/>
      <c r="B107" s="154" t="e">
        <f>IF(CÁLCULOS!B39="Interior",NA(),CÁLCULOS!B39)</f>
        <v>#N/A</v>
      </c>
      <c r="C107" s="160" t="e">
        <v>#N/A</v>
      </c>
      <c r="D107" s="161" t="e">
        <v>#N/A</v>
      </c>
      <c r="E107" s="161" t="e">
        <v>#N/A</v>
      </c>
      <c r="F107" s="221" t="e">
        <v>#N/A</v>
      </c>
      <c r="G107" s="153"/>
      <c r="H107" s="162"/>
      <c r="I107" s="154" t="e">
        <f>IF(CÁLCULOS!BG39="Interior",NA(),CÁLCULOS!BG39)</f>
        <v>#N/A</v>
      </c>
      <c r="J107" s="160" t="e">
        <v>#N/A</v>
      </c>
      <c r="K107" s="161" t="e">
        <v>#N/A</v>
      </c>
      <c r="L107" s="161" t="e">
        <v>#N/A</v>
      </c>
      <c r="M107" s="223" t="e">
        <v>#N/A</v>
      </c>
      <c r="N107" s="153"/>
      <c r="P107" s="1">
        <v>6</v>
      </c>
      <c r="Q107" s="119" t="e">
        <v>#N/A</v>
      </c>
      <c r="R107" s="15" t="e">
        <v>#N/A</v>
      </c>
      <c r="S107" s="15" t="e">
        <v>#N/A</v>
      </c>
      <c r="T107" s="15" t="e">
        <v>#N/A</v>
      </c>
      <c r="U107" s="139" t="e">
        <v>#N/A</v>
      </c>
      <c r="V107" s="140" t="e">
        <v>#N/A</v>
      </c>
      <c r="W107" s="143" t="e">
        <v>#N/A</v>
      </c>
      <c r="X107" s="51" t="e">
        <f ca="1"/>
        <v>#N/A</v>
      </c>
      <c r="Y107" s="120" t="e">
        <v>#N/A</v>
      </c>
      <c r="Z107" s="143" t="e">
        <v>#N/A</v>
      </c>
      <c r="AA107" s="51" t="e">
        <f ca="1"/>
        <v>#N/A</v>
      </c>
      <c r="AB107" s="120" t="e">
        <v>#N/A</v>
      </c>
      <c r="AC107" s="143" t="e">
        <v>#N/A</v>
      </c>
      <c r="AD107" s="51" t="e">
        <f ca="1"/>
        <v>#N/A</v>
      </c>
      <c r="AE107" s="120" t="e">
        <v>#N/A</v>
      </c>
      <c r="AF107" s="143" t="e">
        <v>#N/A</v>
      </c>
      <c r="AG107" s="51" t="e">
        <v>#N/A</v>
      </c>
      <c r="AH107" s="120" t="e">
        <v>#N/A</v>
      </c>
      <c r="AI107" s="121" t="e">
        <f>IF(IF(ISNUMBER(Seccion2!Y107),Seccion2!Y107,0)+IF(ISNUMBER(Seccion2!AB107),Seccion2!AB107,0)+IF(ISNUMBER(Seccion2!AE107),Seccion2!AE107,0)&gt;0,Seccion2!V107,NA())</f>
        <v>#N/A</v>
      </c>
      <c r="AJ107" s="120" t="e">
        <f>IF(AI107&gt;0,CHOOSE(Seccion2!Y107+Seccion2!AB107+Seccion2!AE107,"cond. a HR = "&amp;(VLOOKUP(3,φi[],2,)*100)&amp;"%","cond. a HR = "&amp;(VLOOKUP(2,φi[],2,)*100)&amp;"% y "&amp;(VLOOKUP(3,φi[],2,)*100)&amp;"%","cond. a HR = "&amp;(VLOOKUP(1,φi[],2,)*100)&amp;"%, "&amp;(VLOOKUP(2,φi[],2,)*100)&amp;"% y "&amp;(VLOOKUP(3,φi[],2,)*100)&amp;"%"),NA())</f>
        <v>#N/A</v>
      </c>
      <c r="AK107" s="119" t="e">
        <v>#N/A</v>
      </c>
      <c r="AL107" s="15" t="e">
        <v>#N/A</v>
      </c>
      <c r="AM107" s="48" t="e">
        <v>#N/A</v>
      </c>
      <c r="AN107" s="15" t="e">
        <v>#N/A</v>
      </c>
      <c r="AO107" s="51" t="e">
        <v>#N/A</v>
      </c>
      <c r="AP107" s="140" t="e">
        <v>#N/A</v>
      </c>
      <c r="AQ107" s="143" t="e">
        <v>#N/A</v>
      </c>
      <c r="AR107" s="51" t="e">
        <f ca="1"/>
        <v>#N/A</v>
      </c>
      <c r="AS107" s="120" t="e">
        <v>#N/A</v>
      </c>
      <c r="AT107" s="143" t="e">
        <v>#N/A</v>
      </c>
      <c r="AU107" s="51" t="e">
        <f ca="1"/>
        <v>#N/A</v>
      </c>
      <c r="AV107" s="120" t="e">
        <v>#N/A</v>
      </c>
      <c r="AW107" s="143" t="e">
        <v>#N/A</v>
      </c>
      <c r="AX107" s="51" t="e">
        <f ca="1"/>
        <v>#N/A</v>
      </c>
      <c r="AY107" s="128" t="e">
        <v>#N/A</v>
      </c>
      <c r="AZ107" s="143" t="e">
        <v>#N/A</v>
      </c>
      <c r="BA107" s="51" t="e">
        <v>#N/A</v>
      </c>
      <c r="BB107" s="128" t="e">
        <v>#N/A</v>
      </c>
      <c r="BC107" s="121" t="e">
        <f>IF(IF(ISNUMBER(Seccion2!AS107),Seccion2!AS107,0)+IF(ISNUMBER(Seccion2!AV107),Seccion2!AV107,0)+IF(ISNUMBER(Seccion2!AY107),Seccion2!AY107,0)&gt;0,Seccion2!AP107,NA())</f>
        <v>#N/A</v>
      </c>
      <c r="BD107" s="120" t="e">
        <f>IF(BC107&gt;0,CHOOSE(Seccion2!AS107+Seccion2!AV107+Seccion2!AY107,"cond. a HR = "&amp;(VLOOKUP(3,φi[],2,)*100)&amp;"%","cond. a HR = "&amp;(VLOOKUP(2,φi[],2,)*100)&amp;"% y "&amp;(VLOOKUP(3,φi[],2,)*100)&amp;"%","cond. a HR = "&amp;(VLOOKUP(1,φi[],2,)*100)&amp;"%, "&amp;(VLOOKUP(2,φi[],2,)*100)&amp;"% y "&amp;(VLOOKUP(3,φi[],2,)*100)&amp;"%"),NA())</f>
        <v>#N/A</v>
      </c>
    </row>
    <row r="108" spans="1:56" ht="15.75" x14ac:dyDescent="0.25">
      <c r="A108" s="162"/>
      <c r="B108" s="154" t="e">
        <f>IF(CÁLCULOS!B40="Interior",NA(),CÁLCULOS!B40)</f>
        <v>#N/A</v>
      </c>
      <c r="C108" s="160" t="e">
        <v>#N/A</v>
      </c>
      <c r="D108" s="161" t="e">
        <v>#N/A</v>
      </c>
      <c r="E108" s="161" t="e">
        <v>#N/A</v>
      </c>
      <c r="F108" s="220" t="e">
        <v>#N/A</v>
      </c>
      <c r="G108" s="153"/>
      <c r="H108" s="162"/>
      <c r="I108" s="154" t="e">
        <f>IF(CÁLCULOS!BG40="Interior",NA(),CÁLCULOS!BG40)</f>
        <v>#N/A</v>
      </c>
      <c r="J108" s="160" t="e">
        <v>#N/A</v>
      </c>
      <c r="K108" s="161" t="e">
        <v>#N/A</v>
      </c>
      <c r="L108" s="161" t="e">
        <v>#N/A</v>
      </c>
      <c r="M108" s="222" t="e">
        <v>#N/A</v>
      </c>
      <c r="N108" s="153"/>
      <c r="P108" s="1">
        <v>7</v>
      </c>
      <c r="Q108" s="119" t="e">
        <v>#N/A</v>
      </c>
      <c r="R108" s="15" t="e">
        <v>#N/A</v>
      </c>
      <c r="S108" s="15" t="e">
        <v>#N/A</v>
      </c>
      <c r="T108" s="15" t="e">
        <v>#N/A</v>
      </c>
      <c r="U108" s="139" t="e">
        <v>#N/A</v>
      </c>
      <c r="V108" s="140" t="e">
        <v>#N/A</v>
      </c>
      <c r="W108" s="143" t="e">
        <v>#N/A</v>
      </c>
      <c r="X108" s="51" t="e">
        <f ca="1"/>
        <v>#N/A</v>
      </c>
      <c r="Y108" s="120" t="e">
        <v>#N/A</v>
      </c>
      <c r="Z108" s="143" t="e">
        <v>#N/A</v>
      </c>
      <c r="AA108" s="51" t="e">
        <f ca="1"/>
        <v>#N/A</v>
      </c>
      <c r="AB108" s="120" t="e">
        <v>#N/A</v>
      </c>
      <c r="AC108" s="143" t="e">
        <v>#N/A</v>
      </c>
      <c r="AD108" s="51" t="e">
        <f ca="1"/>
        <v>#N/A</v>
      </c>
      <c r="AE108" s="120" t="e">
        <v>#N/A</v>
      </c>
      <c r="AF108" s="143" t="e">
        <v>#N/A</v>
      </c>
      <c r="AG108" s="51" t="e">
        <v>#N/A</v>
      </c>
      <c r="AH108" s="120" t="e">
        <v>#N/A</v>
      </c>
      <c r="AI108" s="121" t="e">
        <f>IF(IF(ISNUMBER(Seccion2!Y108),Seccion2!Y108,0)+IF(ISNUMBER(Seccion2!AB108),Seccion2!AB108,0)+IF(ISNUMBER(Seccion2!AE108),Seccion2!AE108,0)&gt;0,Seccion2!V108,NA())</f>
        <v>#N/A</v>
      </c>
      <c r="AJ108" s="120" t="e">
        <f>IF(AI108&gt;0,CHOOSE(Seccion2!Y108+Seccion2!AB108+Seccion2!AE108,"cond. a HR = "&amp;(VLOOKUP(3,φi[],2,)*100)&amp;"%","cond. a HR = "&amp;(VLOOKUP(2,φi[],2,)*100)&amp;"% y "&amp;(VLOOKUP(3,φi[],2,)*100)&amp;"%","cond. a HR = "&amp;(VLOOKUP(1,φi[],2,)*100)&amp;"%, "&amp;(VLOOKUP(2,φi[],2,)*100)&amp;"% y "&amp;(VLOOKUP(3,φi[],2,)*100)&amp;"%"),NA())</f>
        <v>#N/A</v>
      </c>
      <c r="AK108" s="119" t="e">
        <v>#N/A</v>
      </c>
      <c r="AL108" s="15" t="e">
        <v>#N/A</v>
      </c>
      <c r="AM108" s="48" t="e">
        <v>#N/A</v>
      </c>
      <c r="AN108" s="15" t="e">
        <v>#N/A</v>
      </c>
      <c r="AO108" s="51" t="e">
        <v>#N/A</v>
      </c>
      <c r="AP108" s="140" t="e">
        <v>#N/A</v>
      </c>
      <c r="AQ108" s="143" t="e">
        <v>#N/A</v>
      </c>
      <c r="AR108" s="51" t="e">
        <f ca="1"/>
        <v>#N/A</v>
      </c>
      <c r="AS108" s="120" t="e">
        <v>#N/A</v>
      </c>
      <c r="AT108" s="143" t="e">
        <v>#N/A</v>
      </c>
      <c r="AU108" s="51" t="e">
        <f ca="1"/>
        <v>#N/A</v>
      </c>
      <c r="AV108" s="120" t="e">
        <v>#N/A</v>
      </c>
      <c r="AW108" s="143" t="e">
        <v>#N/A</v>
      </c>
      <c r="AX108" s="51" t="e">
        <f ca="1"/>
        <v>#N/A</v>
      </c>
      <c r="AY108" s="128" t="e">
        <v>#N/A</v>
      </c>
      <c r="AZ108" s="143" t="e">
        <v>#N/A</v>
      </c>
      <c r="BA108" s="51" t="e">
        <v>#N/A</v>
      </c>
      <c r="BB108" s="128" t="e">
        <v>#N/A</v>
      </c>
      <c r="BC108" s="121" t="e">
        <f>IF(IF(ISNUMBER(Seccion2!AS108),Seccion2!AS108,0)+IF(ISNUMBER(Seccion2!AV108),Seccion2!AV108,0)+IF(ISNUMBER(Seccion2!AY108),Seccion2!AY108,0)&gt;0,Seccion2!AP108,NA())</f>
        <v>#N/A</v>
      </c>
      <c r="BD108" s="120" t="e">
        <f>IF(BC108&gt;0,CHOOSE(Seccion2!AS108+Seccion2!AV108+Seccion2!AY108,"cond. a HR = "&amp;(VLOOKUP(3,φi[],2,)*100)&amp;"%","cond. a HR = "&amp;(VLOOKUP(2,φi[],2,)*100)&amp;"% y "&amp;(VLOOKUP(3,φi[],2,)*100)&amp;"%","cond. a HR = "&amp;(VLOOKUP(1,φi[],2,)*100)&amp;"%, "&amp;(VLOOKUP(2,φi[],2,)*100)&amp;"% y "&amp;(VLOOKUP(3,φi[],2,)*100)&amp;"%"),NA())</f>
        <v>#N/A</v>
      </c>
    </row>
    <row r="109" spans="1:56" ht="15.75" x14ac:dyDescent="0.25">
      <c r="A109" s="162"/>
      <c r="B109" s="154" t="e">
        <f>IF(CÁLCULOS!B41="Interior",NA(),CÁLCULOS!B41)</f>
        <v>#N/A</v>
      </c>
      <c r="C109" s="160" t="e">
        <v>#N/A</v>
      </c>
      <c r="D109" s="161" t="e">
        <v>#N/A</v>
      </c>
      <c r="E109" s="161" t="e">
        <v>#N/A</v>
      </c>
      <c r="F109" s="221" t="e">
        <v>#N/A</v>
      </c>
      <c r="G109" s="153"/>
      <c r="H109" s="162"/>
      <c r="I109" s="154" t="e">
        <f>IF(CÁLCULOS!BG41="Interior",NA(),CÁLCULOS!BG41)</f>
        <v>#N/A</v>
      </c>
      <c r="J109" s="160" t="e">
        <v>#N/A</v>
      </c>
      <c r="K109" s="161" t="e">
        <v>#N/A</v>
      </c>
      <c r="L109" s="161" t="e">
        <v>#N/A</v>
      </c>
      <c r="M109" s="223" t="e">
        <v>#N/A</v>
      </c>
      <c r="N109" s="153"/>
      <c r="P109" s="1">
        <v>8</v>
      </c>
      <c r="Q109" s="119" t="e">
        <v>#N/A</v>
      </c>
      <c r="R109" s="15" t="e">
        <v>#N/A</v>
      </c>
      <c r="S109" s="15" t="e">
        <v>#N/A</v>
      </c>
      <c r="T109" s="15" t="e">
        <v>#N/A</v>
      </c>
      <c r="U109" s="139" t="e">
        <v>#N/A</v>
      </c>
      <c r="V109" s="140" t="e">
        <v>#N/A</v>
      </c>
      <c r="W109" s="143" t="e">
        <v>#N/A</v>
      </c>
      <c r="X109" s="51" t="e">
        <f ca="1"/>
        <v>#N/A</v>
      </c>
      <c r="Y109" s="120" t="e">
        <v>#N/A</v>
      </c>
      <c r="Z109" s="143" t="e">
        <v>#N/A</v>
      </c>
      <c r="AA109" s="51" t="e">
        <f ca="1"/>
        <v>#N/A</v>
      </c>
      <c r="AB109" s="120" t="e">
        <v>#N/A</v>
      </c>
      <c r="AC109" s="143" t="e">
        <v>#N/A</v>
      </c>
      <c r="AD109" s="51" t="e">
        <f ca="1"/>
        <v>#N/A</v>
      </c>
      <c r="AE109" s="120" t="e">
        <v>#N/A</v>
      </c>
      <c r="AF109" s="143" t="e">
        <v>#N/A</v>
      </c>
      <c r="AG109" s="51" t="e">
        <v>#N/A</v>
      </c>
      <c r="AH109" s="120" t="e">
        <v>#N/A</v>
      </c>
      <c r="AI109" s="121" t="e">
        <f>IF(IF(ISNUMBER(Seccion2!Y109),Seccion2!Y109,0)+IF(ISNUMBER(Seccion2!AB109),Seccion2!AB109,0)+IF(ISNUMBER(Seccion2!AE109),Seccion2!AE109,0)&gt;0,Seccion2!V109,NA())</f>
        <v>#N/A</v>
      </c>
      <c r="AJ109" s="120" t="e">
        <f>IF(AI109&gt;0,CHOOSE(Seccion2!Y109+Seccion2!AB109+Seccion2!AE109,"cond. a HR = "&amp;(VLOOKUP(3,φi[],2,)*100)&amp;"%","cond. a HR = "&amp;(VLOOKUP(2,φi[],2,)*100)&amp;"% y "&amp;(VLOOKUP(3,φi[],2,)*100)&amp;"%","cond. a HR = "&amp;(VLOOKUP(1,φi[],2,)*100)&amp;"%, "&amp;(VLOOKUP(2,φi[],2,)*100)&amp;"% y "&amp;(VLOOKUP(3,φi[],2,)*100)&amp;"%"),NA())</f>
        <v>#N/A</v>
      </c>
      <c r="AK109" s="119" t="e">
        <v>#N/A</v>
      </c>
      <c r="AL109" s="15" t="e">
        <v>#N/A</v>
      </c>
      <c r="AM109" s="48" t="e">
        <v>#N/A</v>
      </c>
      <c r="AN109" s="15" t="e">
        <v>#N/A</v>
      </c>
      <c r="AO109" s="51" t="e">
        <v>#N/A</v>
      </c>
      <c r="AP109" s="140" t="e">
        <v>#N/A</v>
      </c>
      <c r="AQ109" s="143" t="e">
        <v>#N/A</v>
      </c>
      <c r="AR109" s="51" t="e">
        <f ca="1"/>
        <v>#N/A</v>
      </c>
      <c r="AS109" s="120" t="e">
        <v>#N/A</v>
      </c>
      <c r="AT109" s="143" t="e">
        <v>#N/A</v>
      </c>
      <c r="AU109" s="51" t="e">
        <f ca="1"/>
        <v>#N/A</v>
      </c>
      <c r="AV109" s="120" t="e">
        <v>#N/A</v>
      </c>
      <c r="AW109" s="143" t="e">
        <v>#N/A</v>
      </c>
      <c r="AX109" s="51" t="e">
        <f ca="1"/>
        <v>#N/A</v>
      </c>
      <c r="AY109" s="128" t="e">
        <v>#N/A</v>
      </c>
      <c r="AZ109" s="143" t="e">
        <v>#N/A</v>
      </c>
      <c r="BA109" s="51" t="e">
        <v>#N/A</v>
      </c>
      <c r="BB109" s="128" t="e">
        <v>#N/A</v>
      </c>
      <c r="BC109" s="121" t="e">
        <f>IF(IF(ISNUMBER(Seccion2!AS109),Seccion2!AS109,0)+IF(ISNUMBER(Seccion2!AV109),Seccion2!AV109,0)+IF(ISNUMBER(Seccion2!AY109),Seccion2!AY109,0)&gt;0,Seccion2!AP109,NA())</f>
        <v>#N/A</v>
      </c>
      <c r="BD109" s="120" t="e">
        <f>IF(BC109&gt;0,CHOOSE(Seccion2!AS109+Seccion2!AV109+Seccion2!AY109,"cond. a HR = "&amp;(VLOOKUP(3,φi[],2,)*100)&amp;"%","cond. a HR = "&amp;(VLOOKUP(2,φi[],2,)*100)&amp;"% y "&amp;(VLOOKUP(3,φi[],2,)*100)&amp;"%","cond. a HR = "&amp;(VLOOKUP(1,φi[],2,)*100)&amp;"%, "&amp;(VLOOKUP(2,φi[],2,)*100)&amp;"% y "&amp;(VLOOKUP(3,φi[],2,)*100)&amp;"%"),NA())</f>
        <v>#N/A</v>
      </c>
    </row>
    <row r="110" spans="1:56" ht="15.75" x14ac:dyDescent="0.25">
      <c r="A110" s="162"/>
      <c r="B110" s="154" t="e">
        <f>IF(CÁLCULOS!B42="Interior",NA(),CÁLCULOS!B42)</f>
        <v>#N/A</v>
      </c>
      <c r="C110" s="160" t="e">
        <v>#N/A</v>
      </c>
      <c r="D110" s="161" t="e">
        <v>#N/A</v>
      </c>
      <c r="E110" s="161" t="e">
        <v>#N/A</v>
      </c>
      <c r="F110" s="220" t="e">
        <v>#N/A</v>
      </c>
      <c r="G110" s="153"/>
      <c r="H110" s="162"/>
      <c r="I110" s="154" t="e">
        <f>IF(CÁLCULOS!BG42="Interior",NA(),CÁLCULOS!BG42)</f>
        <v>#N/A</v>
      </c>
      <c r="J110" s="160" t="e">
        <v>#N/A</v>
      </c>
      <c r="K110" s="161" t="e">
        <v>#N/A</v>
      </c>
      <c r="L110" s="161" t="e">
        <v>#N/A</v>
      </c>
      <c r="M110" s="222" t="e">
        <v>#N/A</v>
      </c>
      <c r="N110" s="153"/>
      <c r="P110" s="1">
        <v>9</v>
      </c>
      <c r="Q110" s="119" t="e">
        <v>#N/A</v>
      </c>
      <c r="R110" s="15" t="e">
        <v>#N/A</v>
      </c>
      <c r="S110" s="15" t="e">
        <v>#N/A</v>
      </c>
      <c r="T110" s="15" t="e">
        <v>#N/A</v>
      </c>
      <c r="U110" s="139" t="e">
        <v>#N/A</v>
      </c>
      <c r="V110" s="140" t="e">
        <v>#N/A</v>
      </c>
      <c r="W110" s="143" t="e">
        <v>#N/A</v>
      </c>
      <c r="X110" s="51" t="e">
        <f ca="1"/>
        <v>#N/A</v>
      </c>
      <c r="Y110" s="120" t="e">
        <v>#N/A</v>
      </c>
      <c r="Z110" s="143" t="e">
        <v>#N/A</v>
      </c>
      <c r="AA110" s="51" t="e">
        <f ca="1"/>
        <v>#N/A</v>
      </c>
      <c r="AB110" s="120" t="e">
        <v>#N/A</v>
      </c>
      <c r="AC110" s="143" t="e">
        <v>#N/A</v>
      </c>
      <c r="AD110" s="51" t="e">
        <f ca="1"/>
        <v>#N/A</v>
      </c>
      <c r="AE110" s="120" t="e">
        <v>#N/A</v>
      </c>
      <c r="AF110" s="143" t="e">
        <v>#N/A</v>
      </c>
      <c r="AG110" s="51" t="e">
        <v>#N/A</v>
      </c>
      <c r="AH110" s="120" t="e">
        <v>#N/A</v>
      </c>
      <c r="AI110" s="121" t="e">
        <f>IF(IF(ISNUMBER(Seccion2!Y110),Seccion2!Y110,0)+IF(ISNUMBER(Seccion2!AB110),Seccion2!AB110,0)+IF(ISNUMBER(Seccion2!AE110),Seccion2!AE110,0)&gt;0,Seccion2!V110,NA())</f>
        <v>#N/A</v>
      </c>
      <c r="AJ110" s="120" t="e">
        <f>IF(AI110&gt;0,CHOOSE(Seccion2!Y110+Seccion2!AB110+Seccion2!AE110,"cond. a HR = "&amp;(VLOOKUP(3,φi[],2,)*100)&amp;"%","cond. a HR = "&amp;(VLOOKUP(2,φi[],2,)*100)&amp;"% y "&amp;(VLOOKUP(3,φi[],2,)*100)&amp;"%","cond. a HR = "&amp;(VLOOKUP(1,φi[],2,)*100)&amp;"%, "&amp;(VLOOKUP(2,φi[],2,)*100)&amp;"% y "&amp;(VLOOKUP(3,φi[],2,)*100)&amp;"%"),NA())</f>
        <v>#N/A</v>
      </c>
      <c r="AK110" s="119" t="e">
        <v>#N/A</v>
      </c>
      <c r="AL110" s="15" t="e">
        <v>#N/A</v>
      </c>
      <c r="AM110" s="48" t="e">
        <v>#N/A</v>
      </c>
      <c r="AN110" s="15" t="e">
        <v>#N/A</v>
      </c>
      <c r="AO110" s="51" t="e">
        <v>#N/A</v>
      </c>
      <c r="AP110" s="140" t="e">
        <v>#N/A</v>
      </c>
      <c r="AQ110" s="143" t="e">
        <v>#N/A</v>
      </c>
      <c r="AR110" s="51" t="e">
        <f ca="1"/>
        <v>#N/A</v>
      </c>
      <c r="AS110" s="120" t="e">
        <v>#N/A</v>
      </c>
      <c r="AT110" s="143" t="e">
        <v>#N/A</v>
      </c>
      <c r="AU110" s="51" t="e">
        <f ca="1"/>
        <v>#N/A</v>
      </c>
      <c r="AV110" s="120" t="e">
        <v>#N/A</v>
      </c>
      <c r="AW110" s="143" t="e">
        <v>#N/A</v>
      </c>
      <c r="AX110" s="51" t="e">
        <f ca="1"/>
        <v>#N/A</v>
      </c>
      <c r="AY110" s="128" t="e">
        <v>#N/A</v>
      </c>
      <c r="AZ110" s="143" t="e">
        <v>#N/A</v>
      </c>
      <c r="BA110" s="51" t="e">
        <v>#N/A</v>
      </c>
      <c r="BB110" s="128" t="e">
        <v>#N/A</v>
      </c>
      <c r="BC110" s="121" t="e">
        <f>IF(IF(ISNUMBER(Seccion2!AS110),Seccion2!AS110,0)+IF(ISNUMBER(Seccion2!AV110),Seccion2!AV110,0)+IF(ISNUMBER(Seccion2!AY110),Seccion2!AY110,0)&gt;0,Seccion2!AP110,NA())</f>
        <v>#N/A</v>
      </c>
      <c r="BD110" s="120" t="e">
        <f>IF(BC110&gt;0,CHOOSE(Seccion2!AS110+Seccion2!AV110+Seccion2!AY110,"cond. a HR = "&amp;(VLOOKUP(3,φi[],2,)*100)&amp;"%","cond. a HR = "&amp;(VLOOKUP(2,φi[],2,)*100)&amp;"% y "&amp;(VLOOKUP(3,φi[],2,)*100)&amp;"%","cond. a HR = "&amp;(VLOOKUP(1,φi[],2,)*100)&amp;"%, "&amp;(VLOOKUP(2,φi[],2,)*100)&amp;"% y "&amp;(VLOOKUP(3,φi[],2,)*100)&amp;"%"),NA())</f>
        <v>#N/A</v>
      </c>
    </row>
    <row r="111" spans="1:56" ht="15.75" x14ac:dyDescent="0.25">
      <c r="A111" s="162"/>
      <c r="B111" s="154" t="e">
        <f>IF(CÁLCULOS!B43="Interior",NA(),CÁLCULOS!B43)</f>
        <v>#N/A</v>
      </c>
      <c r="C111" s="160" t="e">
        <v>#N/A</v>
      </c>
      <c r="D111" s="161" t="e">
        <v>#N/A</v>
      </c>
      <c r="E111" s="161" t="e">
        <v>#N/A</v>
      </c>
      <c r="F111" s="221" t="e">
        <v>#N/A</v>
      </c>
      <c r="G111" s="153"/>
      <c r="H111" s="162"/>
      <c r="I111" s="154" t="e">
        <f>IF(CÁLCULOS!BG43="Interior",NA(),CÁLCULOS!BG43)</f>
        <v>#N/A</v>
      </c>
      <c r="J111" s="160" t="e">
        <v>#N/A</v>
      </c>
      <c r="K111" s="161" t="e">
        <v>#N/A</v>
      </c>
      <c r="L111" s="161" t="e">
        <v>#N/A</v>
      </c>
      <c r="M111" s="223" t="e">
        <v>#N/A</v>
      </c>
      <c r="N111" s="153"/>
      <c r="P111" s="1">
        <v>10</v>
      </c>
      <c r="Q111" s="119" t="e">
        <v>#N/A</v>
      </c>
      <c r="R111" s="15" t="e">
        <v>#N/A</v>
      </c>
      <c r="S111" s="15" t="e">
        <v>#N/A</v>
      </c>
      <c r="T111" s="15" t="e">
        <v>#N/A</v>
      </c>
      <c r="U111" s="139" t="e">
        <v>#N/A</v>
      </c>
      <c r="V111" s="140" t="e">
        <v>#N/A</v>
      </c>
      <c r="W111" s="143" t="e">
        <v>#N/A</v>
      </c>
      <c r="X111" s="51" t="e">
        <f ca="1"/>
        <v>#N/A</v>
      </c>
      <c r="Y111" s="120" t="e">
        <v>#N/A</v>
      </c>
      <c r="Z111" s="143" t="e">
        <v>#N/A</v>
      </c>
      <c r="AA111" s="51" t="e">
        <f ca="1"/>
        <v>#N/A</v>
      </c>
      <c r="AB111" s="120" t="e">
        <v>#N/A</v>
      </c>
      <c r="AC111" s="143" t="e">
        <v>#N/A</v>
      </c>
      <c r="AD111" s="51" t="e">
        <f ca="1"/>
        <v>#N/A</v>
      </c>
      <c r="AE111" s="120" t="e">
        <v>#N/A</v>
      </c>
      <c r="AF111" s="143" t="e">
        <v>#N/A</v>
      </c>
      <c r="AG111" s="51" t="e">
        <v>#N/A</v>
      </c>
      <c r="AH111" s="120" t="e">
        <v>#N/A</v>
      </c>
      <c r="AI111" s="121" t="e">
        <f>IF(IF(ISNUMBER(Seccion2!Y111),Seccion2!Y111,0)+IF(ISNUMBER(Seccion2!AB111),Seccion2!AB111,0)+IF(ISNUMBER(Seccion2!AE111),Seccion2!AE111,0)&gt;0,Seccion2!V111,NA())</f>
        <v>#N/A</v>
      </c>
      <c r="AJ111" s="120" t="e">
        <f>IF(AI111&gt;0,CHOOSE(Seccion2!Y111+Seccion2!AB111+Seccion2!AE111,"cond. a HR = "&amp;(VLOOKUP(3,φi[],2,)*100)&amp;"%","cond. a HR = "&amp;(VLOOKUP(2,φi[],2,)*100)&amp;"% y "&amp;(VLOOKUP(3,φi[],2,)*100)&amp;"%","cond. a HR = "&amp;(VLOOKUP(1,φi[],2,)*100)&amp;"%, "&amp;(VLOOKUP(2,φi[],2,)*100)&amp;"% y "&amp;(VLOOKUP(3,φi[],2,)*100)&amp;"%"),NA())</f>
        <v>#N/A</v>
      </c>
      <c r="AK111" s="119" t="e">
        <v>#N/A</v>
      </c>
      <c r="AL111" s="15" t="e">
        <v>#N/A</v>
      </c>
      <c r="AM111" s="48" t="e">
        <v>#N/A</v>
      </c>
      <c r="AN111" s="15" t="e">
        <v>#N/A</v>
      </c>
      <c r="AO111" s="51" t="e">
        <v>#N/A</v>
      </c>
      <c r="AP111" s="140" t="e">
        <v>#N/A</v>
      </c>
      <c r="AQ111" s="143" t="e">
        <v>#N/A</v>
      </c>
      <c r="AR111" s="51" t="e">
        <f ca="1"/>
        <v>#N/A</v>
      </c>
      <c r="AS111" s="120" t="e">
        <v>#N/A</v>
      </c>
      <c r="AT111" s="143" t="e">
        <v>#N/A</v>
      </c>
      <c r="AU111" s="51" t="e">
        <f ca="1"/>
        <v>#N/A</v>
      </c>
      <c r="AV111" s="120" t="e">
        <v>#N/A</v>
      </c>
      <c r="AW111" s="143" t="e">
        <v>#N/A</v>
      </c>
      <c r="AX111" s="51" t="e">
        <f ca="1"/>
        <v>#N/A</v>
      </c>
      <c r="AY111" s="128" t="e">
        <v>#N/A</v>
      </c>
      <c r="AZ111" s="143" t="e">
        <v>#N/A</v>
      </c>
      <c r="BA111" s="51" t="e">
        <v>#N/A</v>
      </c>
      <c r="BB111" s="128" t="e">
        <v>#N/A</v>
      </c>
      <c r="BC111" s="121" t="e">
        <f>IF(IF(ISNUMBER(Seccion2!AS111),Seccion2!AS111,0)+IF(ISNUMBER(Seccion2!AV111),Seccion2!AV111,0)+IF(ISNUMBER(Seccion2!AY111),Seccion2!AY111,0)&gt;0,Seccion2!AP111,NA())</f>
        <v>#N/A</v>
      </c>
      <c r="BD111" s="120" t="e">
        <f>IF(BC111&gt;0,CHOOSE(Seccion2!AS111+Seccion2!AV111+Seccion2!AY111,"cond. a HR = "&amp;(VLOOKUP(3,φi[],2,)*100)&amp;"%","cond. a HR = "&amp;(VLOOKUP(2,φi[],2,)*100)&amp;"% y "&amp;(VLOOKUP(3,φi[],2,)*100)&amp;"%","cond. a HR = "&amp;(VLOOKUP(1,φi[],2,)*100)&amp;"%, "&amp;(VLOOKUP(2,φi[],2,)*100)&amp;"% y "&amp;(VLOOKUP(3,φi[],2,)*100)&amp;"%"),NA())</f>
        <v>#N/A</v>
      </c>
    </row>
    <row r="112" spans="1:56" ht="15.75" x14ac:dyDescent="0.25">
      <c r="A112" s="162"/>
      <c r="B112" s="154" t="e">
        <f>IF(CÁLCULOS!B44="Interior",NA(),CÁLCULOS!B44)</f>
        <v>#N/A</v>
      </c>
      <c r="C112" s="160" t="e">
        <v>#N/A</v>
      </c>
      <c r="D112" s="161" t="e">
        <v>#N/A</v>
      </c>
      <c r="E112" s="161" t="e">
        <v>#N/A</v>
      </c>
      <c r="F112" s="221" t="e">
        <v>#N/A</v>
      </c>
      <c r="G112" s="153"/>
      <c r="H112" s="162"/>
      <c r="I112" s="154" t="e">
        <f>IF(CÁLCULOS!BG44="Interior",NA(),CÁLCULOS!BG44)</f>
        <v>#N/A</v>
      </c>
      <c r="J112" s="160" t="e">
        <v>#N/A</v>
      </c>
      <c r="K112" s="161" t="e">
        <v>#N/A</v>
      </c>
      <c r="L112" s="161" t="e">
        <v>#N/A</v>
      </c>
      <c r="M112" s="223" t="e">
        <v>#N/A</v>
      </c>
      <c r="N112" s="153"/>
      <c r="P112" s="1">
        <v>11</v>
      </c>
      <c r="Q112" s="119" t="e">
        <v>#N/A</v>
      </c>
      <c r="R112" s="15" t="e">
        <v>#N/A</v>
      </c>
      <c r="S112" s="15" t="e">
        <v>#N/A</v>
      </c>
      <c r="T112" s="15" t="e">
        <v>#N/A</v>
      </c>
      <c r="U112" s="139" t="e">
        <v>#N/A</v>
      </c>
      <c r="V112" s="140" t="e">
        <v>#N/A</v>
      </c>
      <c r="W112" s="143" t="e">
        <v>#N/A</v>
      </c>
      <c r="X112" s="51" t="e">
        <f ca="1"/>
        <v>#N/A</v>
      </c>
      <c r="Y112" s="120" t="e">
        <v>#N/A</v>
      </c>
      <c r="Z112" s="143" t="e">
        <v>#N/A</v>
      </c>
      <c r="AA112" s="51" t="e">
        <f ca="1"/>
        <v>#N/A</v>
      </c>
      <c r="AB112" s="120" t="e">
        <v>#N/A</v>
      </c>
      <c r="AC112" s="143" t="e">
        <v>#N/A</v>
      </c>
      <c r="AD112" s="51" t="e">
        <f ca="1"/>
        <v>#N/A</v>
      </c>
      <c r="AE112" s="120" t="e">
        <v>#N/A</v>
      </c>
      <c r="AF112" s="143" t="e">
        <v>#N/A</v>
      </c>
      <c r="AG112" s="51" t="e">
        <v>#N/A</v>
      </c>
      <c r="AH112" s="120" t="e">
        <v>#N/A</v>
      </c>
      <c r="AI112" s="121" t="e">
        <f>IF(IF(ISNUMBER(Seccion2!Y112),Seccion2!Y112,0)+IF(ISNUMBER(Seccion2!AB112),Seccion2!AB112,0)+IF(ISNUMBER(Seccion2!AE112),Seccion2!AE112,0)&gt;0,Seccion2!V112,NA())</f>
        <v>#N/A</v>
      </c>
      <c r="AJ112" s="120" t="e">
        <f>IF(AI112&gt;0,CHOOSE(Seccion2!Y112+Seccion2!AB112+Seccion2!AE112,"cond. a HR = "&amp;(VLOOKUP(3,φi[],2,)*100)&amp;"%","cond. a HR = "&amp;(VLOOKUP(2,φi[],2,)*100)&amp;"% y "&amp;(VLOOKUP(3,φi[],2,)*100)&amp;"%","cond. a HR = "&amp;(VLOOKUP(1,φi[],2,)*100)&amp;"%, "&amp;(VLOOKUP(2,φi[],2,)*100)&amp;"% y "&amp;(VLOOKUP(3,φi[],2,)*100)&amp;"%"),NA())</f>
        <v>#N/A</v>
      </c>
      <c r="AK112" s="119" t="e">
        <v>#N/A</v>
      </c>
      <c r="AL112" s="15" t="e">
        <v>#N/A</v>
      </c>
      <c r="AM112" s="48" t="e">
        <v>#N/A</v>
      </c>
      <c r="AN112" s="15" t="e">
        <v>#N/A</v>
      </c>
      <c r="AO112" s="51" t="e">
        <v>#N/A</v>
      </c>
      <c r="AP112" s="140" t="e">
        <v>#N/A</v>
      </c>
      <c r="AQ112" s="143" t="e">
        <v>#N/A</v>
      </c>
      <c r="AR112" s="51" t="e">
        <f ca="1"/>
        <v>#N/A</v>
      </c>
      <c r="AS112" s="120" t="e">
        <v>#N/A</v>
      </c>
      <c r="AT112" s="143" t="e">
        <v>#N/A</v>
      </c>
      <c r="AU112" s="51" t="e">
        <f ca="1"/>
        <v>#N/A</v>
      </c>
      <c r="AV112" s="120" t="e">
        <v>#N/A</v>
      </c>
      <c r="AW112" s="143" t="e">
        <v>#N/A</v>
      </c>
      <c r="AX112" s="51" t="e">
        <f ca="1"/>
        <v>#N/A</v>
      </c>
      <c r="AY112" s="128" t="e">
        <v>#N/A</v>
      </c>
      <c r="AZ112" s="143" t="e">
        <v>#N/A</v>
      </c>
      <c r="BA112" s="51" t="e">
        <v>#N/A</v>
      </c>
      <c r="BB112" s="128" t="e">
        <v>#N/A</v>
      </c>
      <c r="BC112" s="121" t="e">
        <f>IF(IF(ISNUMBER(Seccion2!AS112),Seccion2!AS112,0)+IF(ISNUMBER(Seccion2!AV112),Seccion2!AV112,0)+IF(ISNUMBER(Seccion2!AY112),Seccion2!AY112,0)&gt;0,Seccion2!AP112,NA())</f>
        <v>#N/A</v>
      </c>
      <c r="BD112" s="120" t="e">
        <f>IF(BC112&gt;0,CHOOSE(Seccion2!AS112+Seccion2!AV112+Seccion2!AY112,"cond. a HR = "&amp;(VLOOKUP(3,φi[],2,)*100)&amp;"%","cond. a HR = "&amp;(VLOOKUP(2,φi[],2,)*100)&amp;"% y "&amp;(VLOOKUP(3,φi[],2,)*100)&amp;"%","cond. a HR = "&amp;(VLOOKUP(1,φi[],2,)*100)&amp;"%, "&amp;(VLOOKUP(2,φi[],2,)*100)&amp;"% y "&amp;(VLOOKUP(3,φi[],2,)*100)&amp;"%"),NA())</f>
        <v>#N/A</v>
      </c>
    </row>
    <row r="113" spans="1:56" ht="16.5" thickBot="1" x14ac:dyDescent="0.3">
      <c r="A113" s="162"/>
      <c r="B113" s="393" t="e">
        <f>IF(CÁLCULOS!B45="Interior",NA(),CÁLCULOS!B45)</f>
        <v>#N/A</v>
      </c>
      <c r="C113" s="348" t="e">
        <v>#N/A</v>
      </c>
      <c r="D113" s="349" t="e">
        <v>#N/A</v>
      </c>
      <c r="E113" s="349" t="e">
        <v>#N/A</v>
      </c>
      <c r="F113" s="353" t="e">
        <v>#N/A</v>
      </c>
      <c r="G113" s="153"/>
      <c r="H113" s="162"/>
      <c r="I113" s="393" t="e">
        <f>IF(CÁLCULOS!BG45="Interior",NA(),CÁLCULOS!BG45)</f>
        <v>#N/A</v>
      </c>
      <c r="J113" s="348" t="e">
        <v>#N/A</v>
      </c>
      <c r="K113" s="349" t="e">
        <v>#N/A</v>
      </c>
      <c r="L113" s="349" t="e">
        <v>#N/A</v>
      </c>
      <c r="M113" s="358" t="e">
        <v>#N/A</v>
      </c>
      <c r="N113" s="153"/>
      <c r="P113" s="1">
        <v>12</v>
      </c>
      <c r="Q113" s="134" t="e">
        <v>#N/A</v>
      </c>
      <c r="R113" s="135" t="e">
        <v>#N/A</v>
      </c>
      <c r="S113" s="135" t="e">
        <v>#N/A</v>
      </c>
      <c r="T113" s="135" t="e">
        <v>#N/A</v>
      </c>
      <c r="U113" s="141" t="e">
        <v>#N/A</v>
      </c>
      <c r="V113" s="142" t="e">
        <v>#N/A</v>
      </c>
      <c r="W113" s="144" t="e">
        <v>#N/A</v>
      </c>
      <c r="X113" s="145" t="e">
        <f ca="1"/>
        <v>#N/A</v>
      </c>
      <c r="Y113" s="125" t="e">
        <v>#N/A</v>
      </c>
      <c r="Z113" s="144" t="e">
        <v>#N/A</v>
      </c>
      <c r="AA113" s="145" t="e">
        <f ca="1"/>
        <v>#N/A</v>
      </c>
      <c r="AB113" s="125" t="e">
        <v>#N/A</v>
      </c>
      <c r="AC113" s="144" t="e">
        <v>#N/A</v>
      </c>
      <c r="AD113" s="145" t="e">
        <f ca="1"/>
        <v>#N/A</v>
      </c>
      <c r="AE113" s="125" t="e">
        <v>#N/A</v>
      </c>
      <c r="AF113" s="144" t="e">
        <v>#N/A</v>
      </c>
      <c r="AG113" s="145" t="e">
        <v>#N/A</v>
      </c>
      <c r="AH113" s="125" t="e">
        <v>#N/A</v>
      </c>
      <c r="AI113" s="124" t="e">
        <f>IF(IF(ISNUMBER(Seccion2!Y113),Seccion2!Y113,0)+IF(ISNUMBER(Seccion2!AB113),Seccion2!AB113,0)+IF(ISNUMBER(Seccion2!AE113),Seccion2!AE113,0)&gt;0,Seccion2!V113,NA())</f>
        <v>#N/A</v>
      </c>
      <c r="AJ113" s="125" t="e">
        <f>IF(AI113&gt;0,CHOOSE(Seccion2!Y113+Seccion2!AB113+Seccion2!AE113,"cond. a HR = "&amp;(VLOOKUP(3,φi[],2,)*100)&amp;"%","cond. a HR = "&amp;(VLOOKUP(2,φi[],2,)*100)&amp;"% y "&amp;(VLOOKUP(3,φi[],2,)*100)&amp;"%","cond. a HR = "&amp;(VLOOKUP(1,φi[],2,)*100)&amp;"%, "&amp;(VLOOKUP(2,φi[],2,)*100)&amp;"% y "&amp;(VLOOKUP(3,φi[],2,)*100)&amp;"%"),NA())</f>
        <v>#N/A</v>
      </c>
      <c r="AK113" s="134" t="e">
        <v>#N/A</v>
      </c>
      <c r="AL113" s="135" t="e">
        <v>#N/A</v>
      </c>
      <c r="AM113" s="129" t="e">
        <v>#N/A</v>
      </c>
      <c r="AN113" s="135" t="e">
        <v>#N/A</v>
      </c>
      <c r="AO113" s="145" t="e">
        <v>#N/A</v>
      </c>
      <c r="AP113" s="142" t="e">
        <v>#N/A</v>
      </c>
      <c r="AQ113" s="144" t="e">
        <v>#N/A</v>
      </c>
      <c r="AR113" s="145" t="e">
        <f ca="1"/>
        <v>#N/A</v>
      </c>
      <c r="AS113" s="125" t="e">
        <v>#N/A</v>
      </c>
      <c r="AT113" s="144" t="e">
        <v>#N/A</v>
      </c>
      <c r="AU113" s="145" t="e">
        <f ca="1"/>
        <v>#N/A</v>
      </c>
      <c r="AV113" s="125" t="e">
        <v>#N/A</v>
      </c>
      <c r="AW113" s="144" t="e">
        <v>#N/A</v>
      </c>
      <c r="AX113" s="145" t="e">
        <f ca="1"/>
        <v>#N/A</v>
      </c>
      <c r="AY113" s="130" t="e">
        <v>#N/A</v>
      </c>
      <c r="AZ113" s="144" t="e">
        <v>#N/A</v>
      </c>
      <c r="BA113" s="145" t="e">
        <v>#N/A</v>
      </c>
      <c r="BB113" s="130" t="e">
        <v>#N/A</v>
      </c>
      <c r="BC113" s="124" t="e">
        <f>IF(IF(ISNUMBER(Seccion2!AS113),Seccion2!AS113,0)+IF(ISNUMBER(Seccion2!AV113),Seccion2!AV113,0)+IF(ISNUMBER(Seccion2!AY113),Seccion2!AY113,0)&gt;0,Seccion2!AP113,NA())</f>
        <v>#N/A</v>
      </c>
      <c r="BD113" s="125" t="e">
        <f>IF(BC113&gt;0,CHOOSE(Seccion2!AS113+Seccion2!AV113+Seccion2!AY113,"cond. a HR = "&amp;(VLOOKUP(3,φi[],2,)*100)&amp;"%","cond. a HR = "&amp;(VLOOKUP(2,φi[],2,)*100)&amp;"% y "&amp;(VLOOKUP(3,φi[],2,)*100)&amp;"%","cond. a HR = "&amp;(VLOOKUP(1,φi[],2,)*100)&amp;"%, "&amp;(VLOOKUP(2,φi[],2,)*100)&amp;"% y "&amp;(VLOOKUP(3,φi[],2,)*100)&amp;"%"),NA())</f>
        <v>#N/A</v>
      </c>
    </row>
    <row r="114" spans="1:56" ht="15.75" customHeight="1" thickBot="1" x14ac:dyDescent="0.3">
      <c r="A114" s="162"/>
      <c r="B114" s="352" t="s">
        <v>280</v>
      </c>
      <c r="C114" s="354">
        <f>CÁLCULOS!$O$48</f>
        <v>0</v>
      </c>
      <c r="D114" s="355">
        <f>CÁLCULOS!$Z$48</f>
        <v>0</v>
      </c>
      <c r="E114" s="356">
        <f>CÁLCULOS!$AK$48</f>
        <v>0</v>
      </c>
      <c r="F114" s="359">
        <f>CÁLCULOS!$AV$48</f>
        <v>0</v>
      </c>
      <c r="G114" s="153"/>
      <c r="H114" s="162"/>
      <c r="I114" s="352" t="s">
        <v>280</v>
      </c>
      <c r="J114" s="354">
        <f>CÁLCULOS!$BT$48</f>
        <v>0</v>
      </c>
      <c r="K114" s="355">
        <f>CÁLCULOS!$CE$48</f>
        <v>0</v>
      </c>
      <c r="L114" s="356">
        <f>CÁLCULOS!$CP$48</f>
        <v>0</v>
      </c>
      <c r="M114" s="359">
        <f>CÁLCULOS!$DA$48</f>
        <v>0</v>
      </c>
      <c r="N114" s="153"/>
    </row>
    <row r="115" spans="1:56" ht="15.75" customHeight="1" thickBot="1" x14ac:dyDescent="0.3">
      <c r="A115" s="162"/>
      <c r="B115" s="360" t="s">
        <v>593</v>
      </c>
      <c r="C115" s="646" t="str">
        <f>SUM(C114:E114)&amp;" Interfases"</f>
        <v>0 Interfases</v>
      </c>
      <c r="D115" s="647"/>
      <c r="E115" s="648"/>
      <c r="F115" s="350"/>
      <c r="G115" s="153"/>
      <c r="H115" s="162"/>
      <c r="I115" s="360" t="s">
        <v>593</v>
      </c>
      <c r="J115" s="646" t="str">
        <f>SUM(J114:L114)&amp;" Interfases"</f>
        <v>0 Interfases</v>
      </c>
      <c r="K115" s="647"/>
      <c r="L115" s="648"/>
      <c r="M115" s="350"/>
      <c r="N115" s="153"/>
    </row>
    <row r="116" spans="1:56" ht="7.5" customHeight="1" thickBot="1" x14ac:dyDescent="0.3">
      <c r="A116" s="168"/>
      <c r="B116" s="169"/>
      <c r="C116" s="169"/>
      <c r="D116" s="169"/>
      <c r="E116" s="169"/>
      <c r="F116" s="169"/>
      <c r="G116" s="170"/>
      <c r="H116" s="168"/>
      <c r="I116" s="169"/>
      <c r="J116" s="169"/>
      <c r="K116" s="169"/>
      <c r="L116" s="169"/>
      <c r="M116" s="169"/>
      <c r="N116" s="170"/>
    </row>
    <row r="117" spans="1:56" ht="19.5" thickBot="1" x14ac:dyDescent="0.3">
      <c r="A117" s="618" t="s">
        <v>223</v>
      </c>
      <c r="B117" s="619"/>
      <c r="C117" s="619"/>
      <c r="D117" s="619"/>
      <c r="E117" s="619"/>
      <c r="F117" s="619"/>
      <c r="G117" s="619"/>
      <c r="H117" s="619"/>
      <c r="I117" s="619"/>
      <c r="J117" s="619"/>
      <c r="K117" s="619"/>
      <c r="L117" s="619"/>
      <c r="M117" s="619"/>
      <c r="N117" s="620"/>
    </row>
    <row r="118" spans="1:56" ht="7.5" customHeight="1" x14ac:dyDescent="0.25">
      <c r="A118" s="171"/>
      <c r="B118" s="172"/>
      <c r="C118" s="172"/>
      <c r="D118" s="172"/>
      <c r="E118" s="172"/>
      <c r="F118" s="172"/>
      <c r="G118" s="172"/>
      <c r="H118" s="172"/>
      <c r="I118" s="172"/>
      <c r="J118" s="172"/>
      <c r="K118" s="172"/>
      <c r="L118" s="172"/>
      <c r="M118" s="172"/>
      <c r="N118" s="173"/>
    </row>
    <row r="119" spans="1:56" ht="15.75" customHeight="1" x14ac:dyDescent="0.25">
      <c r="A119" s="174"/>
      <c r="B119" s="640" t="str">
        <f>IF(AND(Seccion2!R122,Seccion2!S122),IF(Seccion2!R120&gt;=1,IF(Seccion2!T120,frase1_1&amp;" "&amp;DISMINUYE&amp;" "&amp;frase1_2&amp;" "&amp;SUPERFICIAL&amp;" "&amp;frase1_3,frase1_1&amp;" "&amp;NO_DISMINUYE&amp;" "&amp;frase1_2&amp;" "&amp;SUPERFICIAL&amp;" "&amp;frase1_3),IF(Seccion2!S120&lt;1,frase0&amp;" "&amp;SUPERFICIAL&amp;" "&amp;frase1_3,frase1_1&amp;" "&amp;NO_DISMINUYE&amp;" "&amp;frase1_2&amp;" "&amp;SUPERFICIAL&amp;" "&amp;frase1_3))&amp;" "&amp;IF(Seccion2!R121&gt;=1,IF(Seccion2!T121,frase1_1&amp;" "&amp;DISMINUYE&amp;" "&amp;frase1_2&amp;" "&amp;INTERSTICIAL&amp;" "&amp;frase1_3,frase1_1&amp;" "&amp;NO_DISMINUYE&amp;" "&amp;frase1_2&amp;" "&amp;INTERSTICIAL&amp;" "&amp;frase1_3),IF(Seccion2!S121&lt;1,frase0&amp;" "&amp;INTERSTICIAL&amp;" "&amp;frase1_3,frase1_1&amp;" "&amp;NO_DISMINUYE&amp;" "&amp;frase1_2&amp;" "&amp;INTERSTICIAL&amp;" "&amp;frase1_3)),"")</f>
        <v/>
      </c>
      <c r="C119" s="640"/>
      <c r="D119" s="640"/>
      <c r="E119" s="640"/>
      <c r="F119" s="640"/>
      <c r="G119" s="640"/>
      <c r="H119" s="640"/>
      <c r="I119" s="640"/>
      <c r="J119" s="640"/>
      <c r="K119" s="640"/>
      <c r="L119" s="640"/>
      <c r="M119" s="640"/>
      <c r="N119" s="175"/>
      <c r="R119" s="1" t="s">
        <v>231</v>
      </c>
      <c r="S119" s="1" t="s">
        <v>235</v>
      </c>
      <c r="T119" s="1" t="s">
        <v>234</v>
      </c>
    </row>
    <row r="120" spans="1:56" ht="15.75" customHeight="1" x14ac:dyDescent="0.25">
      <c r="A120" s="174"/>
      <c r="B120" s="640"/>
      <c r="C120" s="640"/>
      <c r="D120" s="640"/>
      <c r="E120" s="640"/>
      <c r="F120" s="640"/>
      <c r="G120" s="640"/>
      <c r="H120" s="640"/>
      <c r="I120" s="640"/>
      <c r="J120" s="640"/>
      <c r="K120" s="640"/>
      <c r="L120" s="640"/>
      <c r="M120" s="640"/>
      <c r="N120" s="175"/>
      <c r="Q120" s="1" t="s">
        <v>232</v>
      </c>
      <c r="R120" s="1">
        <f>COUNTIF(Seccion2!$C$95:$E$95,"Sí")</f>
        <v>0</v>
      </c>
      <c r="S120" s="1">
        <f>COUNTIF(Seccion2!$J$95:$L$95,"Sí")</f>
        <v>0</v>
      </c>
      <c r="T120" s="1" t="b">
        <f>IF(S120&lt;R120,TRUE,FALSE)</f>
        <v>0</v>
      </c>
    </row>
    <row r="121" spans="1:56" ht="15.75" x14ac:dyDescent="0.25">
      <c r="A121" s="174"/>
      <c r="B121" s="640"/>
      <c r="C121" s="640"/>
      <c r="D121" s="640"/>
      <c r="E121" s="640"/>
      <c r="F121" s="640"/>
      <c r="G121" s="640"/>
      <c r="H121" s="640"/>
      <c r="I121" s="640"/>
      <c r="J121" s="640"/>
      <c r="K121" s="640"/>
      <c r="L121" s="640"/>
      <c r="M121" s="640"/>
      <c r="N121" s="175"/>
      <c r="Q121" s="1" t="s">
        <v>233</v>
      </c>
      <c r="R121" s="1">
        <f>SUM(Seccion2!$C$114:$E$114)</f>
        <v>0</v>
      </c>
      <c r="S121" s="1">
        <f>SUM(Seccion2!$J$114:$L$114)</f>
        <v>0</v>
      </c>
      <c r="T121" s="1" t="b">
        <f>IF(S121&lt;R121,TRUE,FALSE)</f>
        <v>0</v>
      </c>
    </row>
    <row r="122" spans="1:56" ht="15.75" x14ac:dyDescent="0.25">
      <c r="A122" s="174"/>
      <c r="B122" s="176"/>
      <c r="C122" s="176"/>
      <c r="D122" s="176"/>
      <c r="E122" s="176"/>
      <c r="F122" s="176"/>
      <c r="G122" s="176"/>
      <c r="H122" s="176"/>
      <c r="I122" s="176"/>
      <c r="J122" s="176"/>
      <c r="K122" s="644"/>
      <c r="L122" s="644"/>
      <c r="M122" s="644"/>
      <c r="N122" s="175"/>
      <c r="Q122" s="25"/>
      <c r="R122" s="25" t="b">
        <f t="array" ref="R122">IF(SUM(IFERROR(Seccion2!$F$24:$F$35,0))&gt;0,TRUE,FALSE)</f>
        <v>0</v>
      </c>
      <c r="S122" s="25" t="b">
        <f t="array" ref="S122">IF(SUM(IFERROR(Seccion2!$M$24:$M$35,0))&gt;0,TRUE,FALSE)</f>
        <v>0</v>
      </c>
      <c r="T122" s="25"/>
    </row>
    <row r="123" spans="1:56" ht="15.75" customHeight="1" x14ac:dyDescent="0.3">
      <c r="A123" s="146"/>
      <c r="B123" s="210" t="s">
        <v>221</v>
      </c>
      <c r="C123" s="638"/>
      <c r="D123" s="638"/>
      <c r="E123" s="211"/>
      <c r="F123" s="211"/>
      <c r="G123" s="212"/>
      <c r="H123" s="212"/>
      <c r="I123" s="639" t="s">
        <v>222</v>
      </c>
      <c r="J123" s="639"/>
      <c r="K123" s="645"/>
      <c r="L123" s="645"/>
      <c r="M123" s="645"/>
      <c r="N123" s="153"/>
    </row>
    <row r="124" spans="1:56" ht="7.5" customHeight="1" thickBot="1" x14ac:dyDescent="0.3">
      <c r="A124" s="168"/>
      <c r="B124" s="169"/>
      <c r="C124" s="169"/>
      <c r="D124" s="169"/>
      <c r="E124" s="169"/>
      <c r="F124" s="169"/>
      <c r="G124" s="169"/>
      <c r="H124" s="169"/>
      <c r="I124" s="169"/>
      <c r="J124" s="169"/>
      <c r="K124" s="169"/>
      <c r="L124" s="169"/>
      <c r="M124" s="169"/>
      <c r="N124" s="170"/>
    </row>
    <row r="125" spans="1:56" ht="15.75" customHeight="1" x14ac:dyDescent="0.25"/>
  </sheetData>
  <sheetProtection algorithmName="SHA-512" hashValue="+aJ+jjT+4Pd9pl1ZhiQAsWtuMx+77gCVS6FanOSHQNRIbJePafftaPBiA+pL4/YOIEsk7obCVNBL8zH2UfbFag==" saltValue="PgfV/CaArUhSbqcLLjq+tg==" spinCount="100000" sheet="1" objects="1" scenarios="1"/>
  <mergeCells count="80">
    <mergeCell ref="C17:F17"/>
    <mergeCell ref="C18:F18"/>
    <mergeCell ref="J17:M17"/>
    <mergeCell ref="J18:M18"/>
    <mergeCell ref="I33:L33"/>
    <mergeCell ref="B28:E28"/>
    <mergeCell ref="B29:E29"/>
    <mergeCell ref="B30:E30"/>
    <mergeCell ref="J20:K20"/>
    <mergeCell ref="B24:E24"/>
    <mergeCell ref="B25:E25"/>
    <mergeCell ref="B26:E26"/>
    <mergeCell ref="B27:E27"/>
    <mergeCell ref="B15:F15"/>
    <mergeCell ref="Q97:AJ97"/>
    <mergeCell ref="B80:F80"/>
    <mergeCell ref="I80:M80"/>
    <mergeCell ref="A84:N84"/>
    <mergeCell ref="A85:G85"/>
    <mergeCell ref="H85:N85"/>
    <mergeCell ref="B88:F90"/>
    <mergeCell ref="I88:M90"/>
    <mergeCell ref="A40:N40"/>
    <mergeCell ref="A41:G41"/>
    <mergeCell ref="H41:N41"/>
    <mergeCell ref="B44:F46"/>
    <mergeCell ref="I35:L35"/>
    <mergeCell ref="B23:E23"/>
    <mergeCell ref="I23:L23"/>
    <mergeCell ref="AI99:AJ99"/>
    <mergeCell ref="BC99:BD99"/>
    <mergeCell ref="A117:N117"/>
    <mergeCell ref="B119:M121"/>
    <mergeCell ref="K122:M123"/>
    <mergeCell ref="C123:D123"/>
    <mergeCell ref="I123:J123"/>
    <mergeCell ref="I34:L34"/>
    <mergeCell ref="AK97:BD97"/>
    <mergeCell ref="I28:L28"/>
    <mergeCell ref="I29:L29"/>
    <mergeCell ref="I30:L30"/>
    <mergeCell ref="I31:L31"/>
    <mergeCell ref="I32:L32"/>
    <mergeCell ref="C5:E5"/>
    <mergeCell ref="K5:M5"/>
    <mergeCell ref="A36:A38"/>
    <mergeCell ref="F36:F38"/>
    <mergeCell ref="H36:H38"/>
    <mergeCell ref="M36:M38"/>
    <mergeCell ref="A7:N7"/>
    <mergeCell ref="A8:G8"/>
    <mergeCell ref="H8:N8"/>
    <mergeCell ref="B31:E31"/>
    <mergeCell ref="B32:E32"/>
    <mergeCell ref="B33:E33"/>
    <mergeCell ref="B34:E34"/>
    <mergeCell ref="B35:E35"/>
    <mergeCell ref="I24:L24"/>
    <mergeCell ref="I25:L25"/>
    <mergeCell ref="A2:N2"/>
    <mergeCell ref="C4:E4"/>
    <mergeCell ref="F4:G4"/>
    <mergeCell ref="H4:J4"/>
    <mergeCell ref="L4:M4"/>
    <mergeCell ref="C92:E92"/>
    <mergeCell ref="J92:L92"/>
    <mergeCell ref="C115:E115"/>
    <mergeCell ref="J115:L115"/>
    <mergeCell ref="V10:W10"/>
    <mergeCell ref="B11:F13"/>
    <mergeCell ref="I11:M13"/>
    <mergeCell ref="I26:L26"/>
    <mergeCell ref="I27:L27"/>
    <mergeCell ref="I44:M46"/>
    <mergeCell ref="B62:F62"/>
    <mergeCell ref="I62:M62"/>
    <mergeCell ref="I15:M15"/>
    <mergeCell ref="C16:E16"/>
    <mergeCell ref="J16:L16"/>
    <mergeCell ref="C20:D20"/>
  </mergeCells>
  <conditionalFormatting sqref="B88:F90">
    <cfRule type="cellIs" dxfId="2128" priority="42" operator="equal">
      <formula>0</formula>
    </cfRule>
  </conditionalFormatting>
  <conditionalFormatting sqref="I88:M90">
    <cfRule type="cellIs" dxfId="2127" priority="41" operator="equal">
      <formula>0</formula>
    </cfRule>
  </conditionalFormatting>
  <conditionalFormatting sqref="I44:M46">
    <cfRule type="cellIs" dxfId="2126" priority="40" operator="equal">
      <formula>0</formula>
    </cfRule>
  </conditionalFormatting>
  <conditionalFormatting sqref="B44:F46">
    <cfRule type="cellIs" dxfId="2125" priority="39" operator="equal">
      <formula>0</formula>
    </cfRule>
  </conditionalFormatting>
  <conditionalFormatting sqref="B101:B113">
    <cfRule type="containsErrors" dxfId="2124" priority="38">
      <formula>ISERROR(B101)</formula>
    </cfRule>
  </conditionalFormatting>
  <conditionalFormatting sqref="B114">
    <cfRule type="containsErrors" dxfId="2123" priority="36">
      <formula>ISERROR(B114)</formula>
    </cfRule>
  </conditionalFormatting>
  <conditionalFormatting sqref="I114">
    <cfRule type="containsErrors" dxfId="2122" priority="35">
      <formula>ISERROR(I114)</formula>
    </cfRule>
  </conditionalFormatting>
  <conditionalFormatting sqref="I16:N16 I19:N20 I17:I18 N17:N18 L21:N21">
    <cfRule type="expression" dxfId="2121" priority="48">
      <formula>$V$10</formula>
    </cfRule>
  </conditionalFormatting>
  <conditionalFormatting sqref="I15:M15">
    <cfRule type="expression" dxfId="2120" priority="49">
      <formula>NOT($V$10)</formula>
    </cfRule>
  </conditionalFormatting>
  <conditionalFormatting sqref="C101:E113">
    <cfRule type="containsErrors" dxfId="2119" priority="34">
      <formula>ISERROR(C101)</formula>
    </cfRule>
  </conditionalFormatting>
  <conditionalFormatting sqref="J101:L113">
    <cfRule type="containsErrors" dxfId="2118" priority="33">
      <formula>ISERROR(J101)</formula>
    </cfRule>
  </conditionalFormatting>
  <conditionalFormatting sqref="I101:I113">
    <cfRule type="containsErrors" dxfId="2117" priority="32">
      <formula>ISERROR(I101)</formula>
    </cfRule>
  </conditionalFormatting>
  <conditionalFormatting sqref="B15:F15">
    <cfRule type="expression" dxfId="2116" priority="31">
      <formula>NOT($V$10)</formula>
    </cfRule>
  </conditionalFormatting>
  <conditionalFormatting sqref="F101:F113">
    <cfRule type="containsErrors" dxfId="2115" priority="30">
      <formula>ISERROR(F101)</formula>
    </cfRule>
  </conditionalFormatting>
  <conditionalFormatting sqref="F93 F95:F114">
    <cfRule type="expression" dxfId="2114" priority="29">
      <formula>$F$93=0</formula>
    </cfRule>
  </conditionalFormatting>
  <conditionalFormatting sqref="M101:M113">
    <cfRule type="containsErrors" dxfId="2113" priority="28">
      <formula>ISERROR(M101)</formula>
    </cfRule>
  </conditionalFormatting>
  <conditionalFormatting sqref="M93 M99:M114 M95 M97">
    <cfRule type="expression" dxfId="2112" priority="27">
      <formula>$M$93=0</formula>
    </cfRule>
  </conditionalFormatting>
  <conditionalFormatting sqref="F24:F35">
    <cfRule type="containsErrors" dxfId="2111" priority="22">
      <formula>ISERROR(F24)</formula>
    </cfRule>
  </conditionalFormatting>
  <conditionalFormatting sqref="M24:M35">
    <cfRule type="containsErrors" dxfId="2110" priority="21">
      <formula>ISERROR(M24)</formula>
    </cfRule>
  </conditionalFormatting>
  <conditionalFormatting sqref="J17:M18">
    <cfRule type="expression" dxfId="2109" priority="20">
      <formula>$V$10</formula>
    </cfRule>
  </conditionalFormatting>
  <conditionalFormatting sqref="C95:F99">
    <cfRule type="containsErrors" dxfId="2108" priority="18">
      <formula>ISERROR(C95)</formula>
    </cfRule>
  </conditionalFormatting>
  <conditionalFormatting sqref="J95:M95 J99:M99 J97:M97 J96:L96">
    <cfRule type="containsErrors" dxfId="2107" priority="17">
      <formula>ISERROR(J95)</formula>
    </cfRule>
  </conditionalFormatting>
  <conditionalFormatting sqref="M98">
    <cfRule type="expression" dxfId="2106" priority="16">
      <formula>$F$93=0</formula>
    </cfRule>
  </conditionalFormatting>
  <conditionalFormatting sqref="J98:M98">
    <cfRule type="containsErrors" dxfId="2105" priority="15">
      <formula>ISERROR(J98)</formula>
    </cfRule>
  </conditionalFormatting>
  <conditionalFormatting sqref="F94">
    <cfRule type="expression" dxfId="2104" priority="14">
      <formula>$F$93=0</formula>
    </cfRule>
  </conditionalFormatting>
  <conditionalFormatting sqref="C94:F94">
    <cfRule type="containsErrors" dxfId="2103" priority="13">
      <formula>ISERROR(C94)</formula>
    </cfRule>
  </conditionalFormatting>
  <conditionalFormatting sqref="M94">
    <cfRule type="expression" dxfId="2102" priority="12">
      <formula>$F$93=0</formula>
    </cfRule>
  </conditionalFormatting>
  <conditionalFormatting sqref="J94:M94">
    <cfRule type="containsErrors" dxfId="2101" priority="11">
      <formula>ISERROR(J94)</formula>
    </cfRule>
  </conditionalFormatting>
  <conditionalFormatting sqref="B115">
    <cfRule type="containsErrors" dxfId="2100" priority="10">
      <formula>ISERROR(B115)</formula>
    </cfRule>
  </conditionalFormatting>
  <conditionalFormatting sqref="F115">
    <cfRule type="expression" dxfId="2099" priority="9">
      <formula>$F$93=0</formula>
    </cfRule>
  </conditionalFormatting>
  <conditionalFormatting sqref="I115">
    <cfRule type="containsErrors" dxfId="2098" priority="8">
      <formula>ISERROR(I115)</formula>
    </cfRule>
  </conditionalFormatting>
  <conditionalFormatting sqref="M115">
    <cfRule type="expression" dxfId="2097" priority="7">
      <formula>$F$93=0</formula>
    </cfRule>
  </conditionalFormatting>
  <conditionalFormatting sqref="M96">
    <cfRule type="expression" dxfId="2096" priority="6">
      <formula>$F$93=0</formula>
    </cfRule>
  </conditionalFormatting>
  <conditionalFormatting sqref="M96">
    <cfRule type="containsErrors" dxfId="2095" priority="5">
      <formula>ISERROR(M96)</formula>
    </cfRule>
  </conditionalFormatting>
  <conditionalFormatting sqref="J21">
    <cfRule type="expression" dxfId="2094" priority="3">
      <formula>$V$10</formula>
    </cfRule>
  </conditionalFormatting>
  <conditionalFormatting sqref="K21">
    <cfRule type="expression" dxfId="2093" priority="2">
      <formula>$V$10</formula>
    </cfRule>
  </conditionalFormatting>
  <conditionalFormatting sqref="I21">
    <cfRule type="expression" dxfId="2092" priority="1">
      <formula>$V$10</formula>
    </cfRule>
  </conditionalFormatting>
  <dataValidations count="9">
    <dataValidation type="decimal" allowBlank="1" showInputMessage="1" showErrorMessage="1" error="El valor debe ser mayor que la humedad relativa del aire interior" sqref="V15" xr:uid="{00000000-0002-0000-0300-000000000000}">
      <formula1>L1+0.01</formula1>
      <formula2>1</formula2>
    </dataValidation>
    <dataValidation type="decimal" allowBlank="1" showInputMessage="1" showErrorMessage="1" error="El valor debe ser mayor que la humedad relativa del aire interior" sqref="J22" xr:uid="{00000000-0002-0000-0300-000001000000}">
      <formula1>L7+0.01</formula1>
      <formula2>1</formula2>
    </dataValidation>
    <dataValidation type="decimal" allowBlank="1" showInputMessage="1" showErrorMessage="1" error="El valor debe ser mayor que la humedad relativa del aire interior" sqref="J19" xr:uid="{00000000-0002-0000-0300-000002000000}">
      <formula1>E1+0.01</formula1>
      <formula2>1</formula2>
    </dataValidation>
    <dataValidation type="decimal" operator="greaterThanOrEqual" allowBlank="1" showInputMessage="1" showErrorMessage="1" sqref="C37:D38 E36" xr:uid="{00000000-0002-0000-0300-000003000000}">
      <formula1>0</formula1>
    </dataValidation>
    <dataValidation type="decimal" allowBlank="1" showInputMessage="1" sqref="S16" xr:uid="{00000000-0002-0000-0300-000004000000}">
      <formula1>0.1</formula1>
      <formula2>0.9</formula2>
    </dataValidation>
    <dataValidation type="decimal" allowBlank="1" showInputMessage="1" showErrorMessage="1" error="El valor debe ser mayor que la humedad relativa del aire interior" sqref="C19" xr:uid="{00000000-0002-0000-0300-000005000000}">
      <formula1>E1+0.01</formula1>
      <formula2>1</formula2>
    </dataValidation>
    <dataValidation type="list" allowBlank="1" showInputMessage="1" showErrorMessage="1" error="El valor debe ser mayor que la humedad relativa del aire interior" sqref="J20:K20 C20:D20" xr:uid="{00000000-0002-0000-0300-000006000000}">
      <formula1>lista_direccion_flujo</formula1>
    </dataValidation>
    <dataValidation type="list" allowBlank="1" showInputMessage="1" showErrorMessage="1" sqref="B24:B35 I24:L35" xr:uid="{00000000-0002-0000-0300-000007000000}">
      <formula1>INDIRECT(lista_Materiales)</formula1>
    </dataValidation>
    <dataValidation type="list" allowBlank="1" showInputMessage="1" showErrorMessage="1" sqref="J16:L16 C16:E16" xr:uid="{00000000-0002-0000-0300-000008000000}">
      <formula1>lista_provincias</formula1>
    </dataValidation>
  </dataValidations>
  <printOptions horizontalCentered="1"/>
  <pageMargins left="0.70866141732283472" right="0.70866141732283472" top="1.1417322834645669" bottom="0.74803149606299213" header="0.31496062992125984" footer="0.31496062992125984"/>
  <pageSetup scale="74" fitToHeight="0" orientation="landscape" r:id="rId1"/>
  <headerFooter>
    <oddHeader>&amp;L&amp;G&amp;C&amp;"-,Negrita"&amp;20INFORME DE CÁLCULO DE RIESGO DE 
CONDENSACIÓN DE SOLUCIONES CONSTRUCTIVAS</oddHeader>
    <oddFooter>&amp;LVersión formulario: 2020.1.0&amp;RPágina &amp;P de &amp;N</oddFooter>
  </headerFooter>
  <rowBreaks count="2" manualBreakCount="2">
    <brk id="39" max="16383" man="1"/>
    <brk id="83" max="16383" man="1"/>
  </rowBreaks>
  <drawing r:id="rId2"/>
  <legacyDrawing r:id="rId3"/>
  <legacyDrawingHF r:id="rId4"/>
  <controls>
    <mc:AlternateContent xmlns:mc="http://schemas.openxmlformats.org/markup-compatibility/2006">
      <mc:Choice Requires="x14">
        <control shapeId="31765" r:id="rId5" name="CommandButton4">
          <controlPr defaultSize="0" print="0" autoLine="0" r:id="rId6">
            <anchor moveWithCells="1">
              <from>
                <xdr:col>8</xdr:col>
                <xdr:colOff>1371600</xdr:colOff>
                <xdr:row>90</xdr:row>
                <xdr:rowOff>19050</xdr:rowOff>
              </from>
              <to>
                <xdr:col>8</xdr:col>
                <xdr:colOff>1866900</xdr:colOff>
                <xdr:row>91</xdr:row>
                <xdr:rowOff>161925</xdr:rowOff>
              </to>
            </anchor>
          </controlPr>
        </control>
      </mc:Choice>
      <mc:Fallback>
        <control shapeId="31765" r:id="rId5" name="CommandButton4"/>
      </mc:Fallback>
    </mc:AlternateContent>
    <mc:AlternateContent xmlns:mc="http://schemas.openxmlformats.org/markup-compatibility/2006">
      <mc:Choice Requires="x14">
        <control shapeId="31764" r:id="rId7" name="CommandButton3">
          <controlPr defaultSize="0" print="0" autoLine="0" r:id="rId8">
            <anchor moveWithCells="1">
              <from>
                <xdr:col>7</xdr:col>
                <xdr:colOff>285750</xdr:colOff>
                <xdr:row>90</xdr:row>
                <xdr:rowOff>19050</xdr:rowOff>
              </from>
              <to>
                <xdr:col>8</xdr:col>
                <xdr:colOff>1190625</xdr:colOff>
                <xdr:row>91</xdr:row>
                <xdr:rowOff>180975</xdr:rowOff>
              </to>
            </anchor>
          </controlPr>
        </control>
      </mc:Choice>
      <mc:Fallback>
        <control shapeId="31764" r:id="rId7" name="CommandButton3"/>
      </mc:Fallback>
    </mc:AlternateContent>
    <mc:AlternateContent xmlns:mc="http://schemas.openxmlformats.org/markup-compatibility/2006">
      <mc:Choice Requires="x14">
        <control shapeId="31763" r:id="rId9" name="CommandButton2">
          <controlPr defaultSize="0" print="0" autoLine="0" r:id="rId10">
            <anchor moveWithCells="1">
              <from>
                <xdr:col>1</xdr:col>
                <xdr:colOff>1371600</xdr:colOff>
                <xdr:row>90</xdr:row>
                <xdr:rowOff>28575</xdr:rowOff>
              </from>
              <to>
                <xdr:col>1</xdr:col>
                <xdr:colOff>1866900</xdr:colOff>
                <xdr:row>91</xdr:row>
                <xdr:rowOff>171450</xdr:rowOff>
              </to>
            </anchor>
          </controlPr>
        </control>
      </mc:Choice>
      <mc:Fallback>
        <control shapeId="31763" r:id="rId9" name="CommandButton2"/>
      </mc:Fallback>
    </mc:AlternateContent>
    <mc:AlternateContent xmlns:mc="http://schemas.openxmlformats.org/markup-compatibility/2006">
      <mc:Choice Requires="x14">
        <control shapeId="31762" r:id="rId11" name="CommandButton1">
          <controlPr defaultSize="0" print="0" autoLine="0" r:id="rId12">
            <anchor moveWithCells="1">
              <from>
                <xdr:col>0</xdr:col>
                <xdr:colOff>285750</xdr:colOff>
                <xdr:row>90</xdr:row>
                <xdr:rowOff>19050</xdr:rowOff>
              </from>
              <to>
                <xdr:col>1</xdr:col>
                <xdr:colOff>1143000</xdr:colOff>
                <xdr:row>91</xdr:row>
                <xdr:rowOff>180975</xdr:rowOff>
              </to>
            </anchor>
          </controlPr>
        </control>
      </mc:Choice>
      <mc:Fallback>
        <control shapeId="31762" r:id="rId11" name="CommandButton1"/>
      </mc:Fallback>
    </mc:AlternateContent>
    <mc:AlternateContent xmlns:mc="http://schemas.openxmlformats.org/markup-compatibility/2006">
      <mc:Choice Requires="x14">
        <control shapeId="31773" r:id="rId13" name="CommandButton5">
          <controlPr defaultSize="0" autoLine="0" r:id="rId14">
            <anchor moveWithCells="1">
              <from>
                <xdr:col>4</xdr:col>
                <xdr:colOff>361950</xdr:colOff>
                <xdr:row>36</xdr:row>
                <xdr:rowOff>104775</xdr:rowOff>
              </from>
              <to>
                <xdr:col>5</xdr:col>
                <xdr:colOff>752475</xdr:colOff>
                <xdr:row>37</xdr:row>
                <xdr:rowOff>171450</xdr:rowOff>
              </to>
            </anchor>
          </controlPr>
        </control>
      </mc:Choice>
      <mc:Fallback>
        <control shapeId="31773" r:id="rId13" name="CommandButton5"/>
      </mc:Fallback>
    </mc:AlternateContent>
    <mc:AlternateContent xmlns:mc="http://schemas.openxmlformats.org/markup-compatibility/2006">
      <mc:Choice Requires="x14">
        <control shapeId="31774" r:id="rId15" name="CommandButton6">
          <controlPr defaultSize="0" autoLine="0" r:id="rId16">
            <anchor moveWithCells="1">
              <from>
                <xdr:col>11</xdr:col>
                <xdr:colOff>342900</xdr:colOff>
                <xdr:row>36</xdr:row>
                <xdr:rowOff>104775</xdr:rowOff>
              </from>
              <to>
                <xdr:col>12</xdr:col>
                <xdr:colOff>733425</xdr:colOff>
                <xdr:row>37</xdr:row>
                <xdr:rowOff>171450</xdr:rowOff>
              </to>
            </anchor>
          </controlPr>
        </control>
      </mc:Choice>
      <mc:Fallback>
        <control shapeId="31774" r:id="rId15" name="CommandButton6"/>
      </mc:Fallback>
    </mc:AlternateContent>
    <mc:AlternateContent xmlns:mc="http://schemas.openxmlformats.org/markup-compatibility/2006">
      <mc:Choice Requires="x14">
        <control shapeId="31745" r:id="rId17" name="Check Box 15">
          <controlPr defaultSize="0" print="0" autoFill="0" autoLine="0" autoPict="0">
            <anchor moveWithCells="1">
              <from>
                <xdr:col>7</xdr:col>
                <xdr:colOff>57150</xdr:colOff>
                <xdr:row>14</xdr:row>
                <xdr:rowOff>19050</xdr:rowOff>
              </from>
              <to>
                <xdr:col>7</xdr:col>
                <xdr:colOff>276225</xdr:colOff>
                <xdr:row>14</xdr:row>
                <xdr:rowOff>190500</xdr:rowOff>
              </to>
            </anchor>
          </controlPr>
        </control>
      </mc:Choice>
    </mc:AlternateContent>
    <mc:AlternateContent xmlns:mc="http://schemas.openxmlformats.org/markup-compatibility/2006">
      <mc:Choice Requires="x14">
        <control shapeId="31746" r:id="rId18" name="Casilla Presion HR1">
          <controlPr defaultSize="0" autoFill="0" autoLine="0" autoPict="0">
            <anchor moveWithCells="1">
              <from>
                <xdr:col>1</xdr:col>
                <xdr:colOff>1733550</xdr:colOff>
                <xdr:row>62</xdr:row>
                <xdr:rowOff>28575</xdr:rowOff>
              </from>
              <to>
                <xdr:col>2</xdr:col>
                <xdr:colOff>38100</xdr:colOff>
                <xdr:row>62</xdr:row>
                <xdr:rowOff>171450</xdr:rowOff>
              </to>
            </anchor>
          </controlPr>
        </control>
      </mc:Choice>
    </mc:AlternateContent>
    <mc:AlternateContent xmlns:mc="http://schemas.openxmlformats.org/markup-compatibility/2006">
      <mc:Choice Requires="x14">
        <control shapeId="31747" r:id="rId19" name="Casilla M HR2">
          <controlPr defaultSize="0" autoFill="0" autoLine="0" autoPict="0">
            <anchor moveWithCells="1">
              <from>
                <xdr:col>2</xdr:col>
                <xdr:colOff>571500</xdr:colOff>
                <xdr:row>62</xdr:row>
                <xdr:rowOff>28575</xdr:rowOff>
              </from>
              <to>
                <xdr:col>3</xdr:col>
                <xdr:colOff>28575</xdr:colOff>
                <xdr:row>62</xdr:row>
                <xdr:rowOff>171450</xdr:rowOff>
              </to>
            </anchor>
          </controlPr>
        </control>
      </mc:Choice>
    </mc:AlternateContent>
    <mc:AlternateContent xmlns:mc="http://schemas.openxmlformats.org/markup-compatibility/2006">
      <mc:Choice Requires="x14">
        <control shapeId="31748" r:id="rId20" name="Check Box 4">
          <controlPr defaultSize="0" autoFill="0" autoLine="0" autoPict="0">
            <anchor moveWithCells="1">
              <from>
                <xdr:col>3</xdr:col>
                <xdr:colOff>571500</xdr:colOff>
                <xdr:row>62</xdr:row>
                <xdr:rowOff>28575</xdr:rowOff>
              </from>
              <to>
                <xdr:col>4</xdr:col>
                <xdr:colOff>38100</xdr:colOff>
                <xdr:row>62</xdr:row>
                <xdr:rowOff>171450</xdr:rowOff>
              </to>
            </anchor>
          </controlPr>
        </control>
      </mc:Choice>
    </mc:AlternateContent>
    <mc:AlternateContent xmlns:mc="http://schemas.openxmlformats.org/markup-compatibility/2006">
      <mc:Choice Requires="x14">
        <control shapeId="31749" r:id="rId21" name="Check Box 5">
          <controlPr defaultSize="0" autoFill="0" autoLine="0" autoPict="0">
            <anchor moveWithCells="1">
              <from>
                <xdr:col>1</xdr:col>
                <xdr:colOff>1752600</xdr:colOff>
                <xdr:row>63</xdr:row>
                <xdr:rowOff>0</xdr:rowOff>
              </from>
              <to>
                <xdr:col>2</xdr:col>
                <xdr:colOff>0</xdr:colOff>
                <xdr:row>63</xdr:row>
                <xdr:rowOff>142875</xdr:rowOff>
              </to>
            </anchor>
          </controlPr>
        </control>
      </mc:Choice>
    </mc:AlternateContent>
    <mc:AlternateContent xmlns:mc="http://schemas.openxmlformats.org/markup-compatibility/2006">
      <mc:Choice Requires="x14">
        <control shapeId="31750" r:id="rId22" name="Check Box 6">
          <controlPr defaultSize="0" autoFill="0" autoLine="0" autoPict="0">
            <anchor moveWithCells="1">
              <from>
                <xdr:col>8</xdr:col>
                <xdr:colOff>1752600</xdr:colOff>
                <xdr:row>62</xdr:row>
                <xdr:rowOff>19050</xdr:rowOff>
              </from>
              <to>
                <xdr:col>9</xdr:col>
                <xdr:colOff>47625</xdr:colOff>
                <xdr:row>62</xdr:row>
                <xdr:rowOff>161925</xdr:rowOff>
              </to>
            </anchor>
          </controlPr>
        </control>
      </mc:Choice>
    </mc:AlternateContent>
    <mc:AlternateContent xmlns:mc="http://schemas.openxmlformats.org/markup-compatibility/2006">
      <mc:Choice Requires="x14">
        <control shapeId="31751" r:id="rId23" name="Check Box 7">
          <controlPr defaultSize="0" autoFill="0" autoLine="0" autoPict="0">
            <anchor moveWithCells="1">
              <from>
                <xdr:col>9</xdr:col>
                <xdr:colOff>581025</xdr:colOff>
                <xdr:row>62</xdr:row>
                <xdr:rowOff>28575</xdr:rowOff>
              </from>
              <to>
                <xdr:col>10</xdr:col>
                <xdr:colOff>38100</xdr:colOff>
                <xdr:row>62</xdr:row>
                <xdr:rowOff>171450</xdr:rowOff>
              </to>
            </anchor>
          </controlPr>
        </control>
      </mc:Choice>
    </mc:AlternateContent>
    <mc:AlternateContent xmlns:mc="http://schemas.openxmlformats.org/markup-compatibility/2006">
      <mc:Choice Requires="x14">
        <control shapeId="31752" r:id="rId24" name="Check Box 8">
          <controlPr defaultSize="0" autoFill="0" autoLine="0" autoPict="0">
            <anchor moveWithCells="1">
              <from>
                <xdr:col>10</xdr:col>
                <xdr:colOff>571500</xdr:colOff>
                <xdr:row>62</xdr:row>
                <xdr:rowOff>28575</xdr:rowOff>
              </from>
              <to>
                <xdr:col>11</xdr:col>
                <xdr:colOff>38100</xdr:colOff>
                <xdr:row>62</xdr:row>
                <xdr:rowOff>171450</xdr:rowOff>
              </to>
            </anchor>
          </controlPr>
        </control>
      </mc:Choice>
    </mc:AlternateContent>
    <mc:AlternateContent xmlns:mc="http://schemas.openxmlformats.org/markup-compatibility/2006">
      <mc:Choice Requires="x14">
        <control shapeId="31753" r:id="rId25" name="Check Box 9">
          <controlPr defaultSize="0" autoFill="0" autoLine="0" autoPict="0">
            <anchor moveWithCells="1">
              <from>
                <xdr:col>8</xdr:col>
                <xdr:colOff>1762125</xdr:colOff>
                <xdr:row>63</xdr:row>
                <xdr:rowOff>0</xdr:rowOff>
              </from>
              <to>
                <xdr:col>9</xdr:col>
                <xdr:colOff>9525</xdr:colOff>
                <xdr:row>63</xdr:row>
                <xdr:rowOff>142875</xdr:rowOff>
              </to>
            </anchor>
          </controlPr>
        </control>
      </mc:Choice>
    </mc:AlternateContent>
    <mc:AlternateContent xmlns:mc="http://schemas.openxmlformats.org/markup-compatibility/2006">
      <mc:Choice Requires="x14">
        <control shapeId="31754" r:id="rId26" name="Check Box 10">
          <controlPr defaultSize="0" autoFill="0" autoLine="0" autoPict="0">
            <anchor moveWithCells="1">
              <from>
                <xdr:col>1</xdr:col>
                <xdr:colOff>1743075</xdr:colOff>
                <xdr:row>80</xdr:row>
                <xdr:rowOff>19050</xdr:rowOff>
              </from>
              <to>
                <xdr:col>2</xdr:col>
                <xdr:colOff>47625</xdr:colOff>
                <xdr:row>80</xdr:row>
                <xdr:rowOff>161925</xdr:rowOff>
              </to>
            </anchor>
          </controlPr>
        </control>
      </mc:Choice>
    </mc:AlternateContent>
    <mc:AlternateContent xmlns:mc="http://schemas.openxmlformats.org/markup-compatibility/2006">
      <mc:Choice Requires="x14">
        <control shapeId="31755" r:id="rId27" name="Check Box 11">
          <controlPr defaultSize="0" autoFill="0" autoLine="0" autoPict="0">
            <anchor moveWithCells="1">
              <from>
                <xdr:col>2</xdr:col>
                <xdr:colOff>571500</xdr:colOff>
                <xdr:row>80</xdr:row>
                <xdr:rowOff>28575</xdr:rowOff>
              </from>
              <to>
                <xdr:col>3</xdr:col>
                <xdr:colOff>28575</xdr:colOff>
                <xdr:row>80</xdr:row>
                <xdr:rowOff>171450</xdr:rowOff>
              </to>
            </anchor>
          </controlPr>
        </control>
      </mc:Choice>
    </mc:AlternateContent>
    <mc:AlternateContent xmlns:mc="http://schemas.openxmlformats.org/markup-compatibility/2006">
      <mc:Choice Requires="x14">
        <control shapeId="31756" r:id="rId28" name="Check Box 12">
          <controlPr defaultSize="0" autoFill="0" autoLine="0" autoPict="0">
            <anchor moveWithCells="1">
              <from>
                <xdr:col>3</xdr:col>
                <xdr:colOff>571500</xdr:colOff>
                <xdr:row>80</xdr:row>
                <xdr:rowOff>28575</xdr:rowOff>
              </from>
              <to>
                <xdr:col>4</xdr:col>
                <xdr:colOff>38100</xdr:colOff>
                <xdr:row>80</xdr:row>
                <xdr:rowOff>171450</xdr:rowOff>
              </to>
            </anchor>
          </controlPr>
        </control>
      </mc:Choice>
    </mc:AlternateContent>
    <mc:AlternateContent xmlns:mc="http://schemas.openxmlformats.org/markup-compatibility/2006">
      <mc:Choice Requires="x14">
        <control shapeId="31757" r:id="rId29" name="Check Box 13">
          <controlPr defaultSize="0" autoFill="0" autoLine="0" autoPict="0">
            <anchor moveWithCells="1">
              <from>
                <xdr:col>1</xdr:col>
                <xdr:colOff>1743075</xdr:colOff>
                <xdr:row>81</xdr:row>
                <xdr:rowOff>0</xdr:rowOff>
              </from>
              <to>
                <xdr:col>1</xdr:col>
                <xdr:colOff>1895475</xdr:colOff>
                <xdr:row>81</xdr:row>
                <xdr:rowOff>142875</xdr:rowOff>
              </to>
            </anchor>
          </controlPr>
        </control>
      </mc:Choice>
    </mc:AlternateContent>
    <mc:AlternateContent xmlns:mc="http://schemas.openxmlformats.org/markup-compatibility/2006">
      <mc:Choice Requires="x14">
        <control shapeId="31758" r:id="rId30" name="Check Box 14">
          <controlPr defaultSize="0" autoFill="0" autoLine="0" autoPict="0">
            <anchor moveWithCells="1">
              <from>
                <xdr:col>8</xdr:col>
                <xdr:colOff>1743075</xdr:colOff>
                <xdr:row>80</xdr:row>
                <xdr:rowOff>28575</xdr:rowOff>
              </from>
              <to>
                <xdr:col>9</xdr:col>
                <xdr:colOff>47625</xdr:colOff>
                <xdr:row>80</xdr:row>
                <xdr:rowOff>171450</xdr:rowOff>
              </to>
            </anchor>
          </controlPr>
        </control>
      </mc:Choice>
    </mc:AlternateContent>
    <mc:AlternateContent xmlns:mc="http://schemas.openxmlformats.org/markup-compatibility/2006">
      <mc:Choice Requires="x14">
        <control shapeId="31759" r:id="rId31" name="Check Box 15">
          <controlPr defaultSize="0" autoFill="0" autoLine="0" autoPict="0">
            <anchor moveWithCells="1">
              <from>
                <xdr:col>9</xdr:col>
                <xdr:colOff>571500</xdr:colOff>
                <xdr:row>80</xdr:row>
                <xdr:rowOff>28575</xdr:rowOff>
              </from>
              <to>
                <xdr:col>10</xdr:col>
                <xdr:colOff>28575</xdr:colOff>
                <xdr:row>80</xdr:row>
                <xdr:rowOff>171450</xdr:rowOff>
              </to>
            </anchor>
          </controlPr>
        </control>
      </mc:Choice>
    </mc:AlternateContent>
    <mc:AlternateContent xmlns:mc="http://schemas.openxmlformats.org/markup-compatibility/2006">
      <mc:Choice Requires="x14">
        <control shapeId="31760" r:id="rId32" name="Check Box 16">
          <controlPr defaultSize="0" autoFill="0" autoLine="0" autoPict="0">
            <anchor moveWithCells="1">
              <from>
                <xdr:col>10</xdr:col>
                <xdr:colOff>571500</xdr:colOff>
                <xdr:row>80</xdr:row>
                <xdr:rowOff>28575</xdr:rowOff>
              </from>
              <to>
                <xdr:col>11</xdr:col>
                <xdr:colOff>38100</xdr:colOff>
                <xdr:row>80</xdr:row>
                <xdr:rowOff>171450</xdr:rowOff>
              </to>
            </anchor>
          </controlPr>
        </control>
      </mc:Choice>
    </mc:AlternateContent>
    <mc:AlternateContent xmlns:mc="http://schemas.openxmlformats.org/markup-compatibility/2006">
      <mc:Choice Requires="x14">
        <control shapeId="31761" r:id="rId33" name="Check Box 17">
          <controlPr defaultSize="0" autoFill="0" autoLine="0" autoPict="0">
            <anchor moveWithCells="1">
              <from>
                <xdr:col>8</xdr:col>
                <xdr:colOff>1752600</xdr:colOff>
                <xdr:row>81</xdr:row>
                <xdr:rowOff>0</xdr:rowOff>
              </from>
              <to>
                <xdr:col>9</xdr:col>
                <xdr:colOff>0</xdr:colOff>
                <xdr:row>81</xdr:row>
                <xdr:rowOff>142875</xdr:rowOff>
              </to>
            </anchor>
          </controlPr>
        </control>
      </mc:Choice>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error="El valor debe ser mayor que la humedad relativa del aire interior" xr:uid="{00000000-0002-0000-0300-000009000000}">
          <x14:formula1>
            <xm:f>Aux!$AK$6:$AK$7</xm:f>
          </x14:formula1>
          <xm:sqref>J21 C21</xm:sqref>
        </x14:dataValidation>
        <x14:dataValidation type="list" allowBlank="1" showInputMessage="1" showErrorMessage="1" xr:uid="{00000000-0002-0000-0300-00000A000000}">
          <x14:formula1>
            <xm:f>Aux!$AL$43:$AL$53</xm:f>
          </x14:formula1>
          <xm:sqref>K5:M5</xm:sqref>
        </x14:dataValidation>
        <x14:dataValidation type="list" allowBlank="1" showInputMessage="1" showErrorMessage="1" xr:uid="{00000000-0002-0000-0300-00000B000000}">
          <x14:formula1>
            <xm:f>Aux!$A$34:$A$83</xm:f>
          </x14:formula1>
          <xm:sqref>R11:R12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1"/>
  <dimension ref="A1:DL394"/>
  <sheetViews>
    <sheetView topLeftCell="A39" zoomScale="70" zoomScaleNormal="70" workbookViewId="0">
      <selection activeCell="O48" sqref="O48"/>
    </sheetView>
  </sheetViews>
  <sheetFormatPr baseColWidth="10" defaultColWidth="0" defaultRowHeight="15" x14ac:dyDescent="0.25"/>
  <cols>
    <col min="1" max="1" width="3.140625" style="15" bestFit="1" customWidth="1"/>
    <col min="2" max="2" width="19.28515625" style="15" bestFit="1" customWidth="1"/>
    <col min="3" max="3" width="12" style="15" bestFit="1" customWidth="1"/>
    <col min="4" max="4" width="12.85546875" style="15" bestFit="1" customWidth="1"/>
    <col min="5" max="5" width="13.7109375" style="15" bestFit="1" customWidth="1"/>
    <col min="6" max="6" width="12" style="15" bestFit="1" customWidth="1"/>
    <col min="7" max="7" width="9.7109375" style="15" customWidth="1"/>
    <col min="8" max="8" width="9.42578125" style="15" customWidth="1"/>
    <col min="9" max="9" width="9.85546875" style="15" customWidth="1"/>
    <col min="10" max="10" width="9" style="15" customWidth="1"/>
    <col min="11" max="11" width="14" style="15" customWidth="1"/>
    <col min="12" max="12" width="12.7109375" style="15" bestFit="1" customWidth="1"/>
    <col min="13" max="13" width="10.28515625" style="15" customWidth="1"/>
    <col min="14" max="14" width="16.140625" style="15" bestFit="1" customWidth="1"/>
    <col min="15" max="15" width="12.28515625" style="15" customWidth="1"/>
    <col min="16" max="16" width="11.85546875" style="15" customWidth="1"/>
    <col min="17" max="17" width="14.140625" style="15" bestFit="1" customWidth="1"/>
    <col min="18" max="18" width="11.7109375" style="15" customWidth="1"/>
    <col min="19" max="19" width="10.85546875" style="15" bestFit="1" customWidth="1"/>
    <col min="20" max="20" width="13.140625" style="15" customWidth="1"/>
    <col min="21" max="22" width="12.85546875" style="15" customWidth="1"/>
    <col min="23" max="23" width="13.5703125" style="15" customWidth="1"/>
    <col min="24" max="24" width="12.85546875" style="15" customWidth="1"/>
    <col min="25" max="25" width="16.140625" style="15" bestFit="1" customWidth="1"/>
    <col min="26" max="26" width="13" style="15" bestFit="1" customWidth="1"/>
    <col min="27" max="27" width="11.85546875" style="15" customWidth="1"/>
    <col min="28" max="28" width="9.5703125" style="15" customWidth="1"/>
    <col min="29" max="29" width="6.7109375" style="15" customWidth="1"/>
    <col min="30" max="30" width="5.7109375" style="15" customWidth="1"/>
    <col min="31" max="32" width="14.42578125" style="15" customWidth="1"/>
    <col min="33" max="33" width="12.85546875" style="15" bestFit="1" customWidth="1"/>
    <col min="34" max="35" width="12.85546875" style="15" customWidth="1"/>
    <col min="36" max="36" width="16.140625" style="15" bestFit="1" customWidth="1"/>
    <col min="37" max="37" width="14" style="15" customWidth="1"/>
    <col min="38" max="38" width="8.42578125" style="15" customWidth="1"/>
    <col min="39" max="39" width="9.5703125" style="15" customWidth="1"/>
    <col min="40" max="40" width="6.7109375" style="15" customWidth="1"/>
    <col min="41" max="41" width="5.5703125" style="15" customWidth="1"/>
    <col min="42" max="42" width="14.42578125" style="15" customWidth="1"/>
    <col min="43" max="43" width="13.42578125" style="15" customWidth="1"/>
    <col min="44" max="44" width="12.85546875" style="15" bestFit="1" customWidth="1"/>
    <col min="45" max="46" width="12.85546875" style="15" customWidth="1"/>
    <col min="47" max="47" width="16.140625" style="15" bestFit="1" customWidth="1"/>
    <col min="48" max="48" width="12.28515625" style="15" bestFit="1" customWidth="1"/>
    <col min="49" max="49" width="8.42578125" style="15" customWidth="1"/>
    <col min="50" max="50" width="9.5703125" style="15" customWidth="1"/>
    <col min="51" max="51" width="6.7109375" style="15" customWidth="1"/>
    <col min="52" max="52" width="5.5703125" style="15" customWidth="1"/>
    <col min="53" max="53" width="15" style="15" customWidth="1"/>
    <col min="54" max="54" width="14.42578125" style="15" customWidth="1"/>
    <col min="55" max="55" width="12.85546875" style="15" bestFit="1" customWidth="1"/>
    <col min="56" max="56" width="12.85546875" style="15" customWidth="1"/>
    <col min="57" max="57" width="11.42578125" style="15" customWidth="1"/>
    <col min="58" max="58" width="3.5703125" style="15" customWidth="1"/>
    <col min="59" max="59" width="18.140625" style="15" bestFit="1" customWidth="1"/>
    <col min="60" max="60" width="6.7109375" style="15" bestFit="1" customWidth="1"/>
    <col min="61" max="61" width="6.5703125" style="15" bestFit="1" customWidth="1"/>
    <col min="62" max="62" width="9.28515625" style="15" bestFit="1" customWidth="1"/>
    <col min="63" max="63" width="11.85546875" style="15" bestFit="1" customWidth="1"/>
    <col min="64" max="64" width="8.140625" style="15" bestFit="1" customWidth="1"/>
    <col min="65" max="65" width="12.7109375" style="15" bestFit="1" customWidth="1"/>
    <col min="66" max="66" width="11.85546875" style="15" bestFit="1" customWidth="1"/>
    <col min="67" max="67" width="8.5703125" style="15" customWidth="1"/>
    <col min="68" max="69" width="12.7109375" style="15" bestFit="1" customWidth="1"/>
    <col min="70" max="70" width="12.7109375" style="15" customWidth="1"/>
    <col min="71" max="71" width="16.140625" style="15" bestFit="1" customWidth="1"/>
    <col min="72" max="72" width="13" style="15" bestFit="1" customWidth="1"/>
    <col min="73" max="73" width="8.85546875" style="15" hidden="1" customWidth="1"/>
    <col min="74" max="74" width="10" style="15" hidden="1" customWidth="1"/>
    <col min="75" max="75" width="7.140625" style="15" hidden="1" customWidth="1"/>
    <col min="76" max="76" width="5.85546875" style="15" hidden="1" customWidth="1"/>
    <col min="77" max="77" width="14.5703125" style="15" hidden="1" customWidth="1"/>
    <col min="78" max="78" width="16.42578125" style="15" hidden="1" customWidth="1"/>
    <col min="79" max="79" width="12.85546875" style="15" bestFit="1" customWidth="1"/>
    <col min="80" max="81" width="12.85546875" style="15" customWidth="1"/>
    <col min="82" max="82" width="16.140625" style="15" bestFit="1" customWidth="1"/>
    <col min="83" max="83" width="13" style="15" bestFit="1" customWidth="1"/>
    <col min="84" max="84" width="12.7109375" style="15" hidden="1" customWidth="1"/>
    <col min="85" max="85" width="10" style="15" hidden="1" customWidth="1"/>
    <col min="86" max="86" width="7.140625" style="15" hidden="1" customWidth="1"/>
    <col min="87" max="87" width="5.85546875" style="15" hidden="1" customWidth="1"/>
    <col min="88" max="88" width="16.7109375" style="15" hidden="1" customWidth="1"/>
    <col min="89" max="89" width="14.28515625" style="15" hidden="1" customWidth="1"/>
    <col min="90" max="90" width="12.85546875" style="15" bestFit="1" customWidth="1"/>
    <col min="91" max="92" width="12.85546875" style="15" customWidth="1"/>
    <col min="93" max="93" width="16.140625" style="15" bestFit="1" customWidth="1"/>
    <col min="94" max="94" width="12.7109375" style="15" customWidth="1"/>
    <col min="95" max="98" width="11.42578125" style="15" hidden="1" customWidth="1"/>
    <col min="99" max="99" width="14.5703125" style="15" hidden="1" customWidth="1"/>
    <col min="100" max="100" width="15.28515625" style="15" hidden="1" customWidth="1"/>
    <col min="101" max="101" width="12.85546875" style="15" bestFit="1" customWidth="1"/>
    <col min="102" max="103" width="12.85546875" style="15" customWidth="1"/>
    <col min="104" max="104" width="16.140625" style="15" bestFit="1" customWidth="1"/>
    <col min="105" max="105" width="13" style="15" bestFit="1" customWidth="1"/>
    <col min="106" max="109" width="11.42578125" style="15" hidden="1" customWidth="1"/>
    <col min="110" max="110" width="15.28515625" style="15" hidden="1" customWidth="1"/>
    <col min="111" max="111" width="14.5703125" style="15" hidden="1" customWidth="1"/>
    <col min="112" max="112" width="12.85546875" style="15" bestFit="1" customWidth="1"/>
    <col min="113" max="113" width="12.85546875" style="15" customWidth="1"/>
    <col min="114" max="114" width="11.42578125" style="15" customWidth="1"/>
    <col min="115" max="116" width="0" style="15" hidden="1" customWidth="1"/>
    <col min="117" max="16384" width="11.42578125" style="15" hidden="1"/>
  </cols>
  <sheetData>
    <row r="1" spans="1:113" x14ac:dyDescent="0.25">
      <c r="I1" s="331"/>
    </row>
    <row r="2" spans="1:113" ht="15.75" thickBot="1" x14ac:dyDescent="0.3">
      <c r="A2" s="26" t="s">
        <v>289</v>
      </c>
      <c r="B2" s="26"/>
      <c r="C2" s="26"/>
      <c r="D2" s="26"/>
      <c r="E2" s="26"/>
      <c r="F2" s="26"/>
      <c r="G2" s="26"/>
      <c r="H2" s="26"/>
      <c r="I2" s="26"/>
      <c r="J2" s="26"/>
      <c r="K2" s="26"/>
      <c r="L2" s="26"/>
      <c r="M2" s="26"/>
      <c r="N2" s="26"/>
      <c r="O2" s="26"/>
      <c r="P2" s="26"/>
      <c r="Q2" s="27"/>
      <c r="R2" s="27"/>
      <c r="S2" s="27"/>
      <c r="T2" s="27"/>
      <c r="U2" s="27"/>
      <c r="V2" s="27"/>
      <c r="W2" s="27"/>
      <c r="X2" s="27"/>
      <c r="Y2" s="27"/>
      <c r="Z2" s="27"/>
      <c r="AA2" s="27"/>
      <c r="AB2" s="27"/>
      <c r="AC2" s="27"/>
      <c r="AD2" s="27"/>
      <c r="AE2" s="27"/>
      <c r="AF2" s="27"/>
      <c r="AG2" s="27"/>
      <c r="AH2" s="27"/>
      <c r="AI2" s="27"/>
      <c r="AJ2" s="27"/>
      <c r="AK2" s="27"/>
      <c r="AL2" s="27"/>
      <c r="AM2" s="27"/>
      <c r="AN2" s="26"/>
      <c r="AO2" s="26"/>
      <c r="AP2" s="26"/>
      <c r="AQ2" s="26"/>
      <c r="AR2" s="26"/>
      <c r="AS2" s="26"/>
      <c r="AT2" s="26"/>
      <c r="AU2" s="26"/>
      <c r="AV2" s="26"/>
      <c r="AW2" s="26"/>
      <c r="AX2" s="26"/>
      <c r="AY2" s="26"/>
      <c r="AZ2" s="26"/>
      <c r="BA2" s="26"/>
      <c r="BB2" s="26"/>
      <c r="BC2" s="26"/>
      <c r="BD2" s="26"/>
      <c r="BF2" s="26" t="s">
        <v>292</v>
      </c>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row>
    <row r="3" spans="1:113" ht="15.75" thickBot="1" x14ac:dyDescent="0.3">
      <c r="G3" s="28"/>
      <c r="H3" s="28"/>
      <c r="I3" s="28"/>
      <c r="J3" s="28"/>
      <c r="K3" s="29" t="s">
        <v>179</v>
      </c>
      <c r="L3" s="30"/>
      <c r="M3" s="110"/>
      <c r="N3" s="34" t="s">
        <v>163</v>
      </c>
      <c r="O3" s="31">
        <f>P_sat_i_AT1_C1*$Q$3</f>
        <v>1427.4983081009464</v>
      </c>
      <c r="P3" s="34" t="s">
        <v>267</v>
      </c>
      <c r="Q3" s="30">
        <f>VLOOKUP(1,φi[],2,FALSE)</f>
        <v>0.65</v>
      </c>
      <c r="X3" s="110"/>
      <c r="Y3" s="34" t="s">
        <v>164</v>
      </c>
      <c r="Z3" s="31">
        <f>P_sat_i_AT1_C1*$AH$3</f>
        <v>1647.1134324241689</v>
      </c>
      <c r="AA3" s="34"/>
      <c r="AB3" s="34"/>
      <c r="AC3" s="32"/>
      <c r="AD3" s="32"/>
      <c r="AE3" s="32"/>
      <c r="AF3" s="32"/>
      <c r="AG3" s="34" t="s">
        <v>268</v>
      </c>
      <c r="AH3" s="30">
        <f>VLOOKUP(2,φi[],2,FALSE)</f>
        <v>0.75</v>
      </c>
      <c r="AI3" s="110"/>
      <c r="AJ3" s="34" t="s">
        <v>165</v>
      </c>
      <c r="AK3" s="31">
        <f>P_sat_i_AT1_C1*$AS$3</f>
        <v>1756.9209945857801</v>
      </c>
      <c r="AL3" s="32"/>
      <c r="AM3" s="34"/>
      <c r="AN3" s="34"/>
      <c r="AO3" s="34"/>
      <c r="AP3" s="34"/>
      <c r="AQ3" s="34"/>
      <c r="AR3" s="34" t="s">
        <v>269</v>
      </c>
      <c r="AS3" s="116">
        <f>VLOOKUP(3,φi[],2,FALSE)</f>
        <v>0.8</v>
      </c>
      <c r="AT3" s="110"/>
      <c r="AU3" s="34" t="s">
        <v>166</v>
      </c>
      <c r="AV3" s="31">
        <f>P_sat_i_AT1_C1*$BD$3</f>
        <v>702.76839783431228</v>
      </c>
      <c r="AW3" s="32"/>
      <c r="AX3" s="34"/>
      <c r="AY3" s="34"/>
      <c r="AZ3" s="34"/>
      <c r="BA3" s="34"/>
      <c r="BB3" s="34"/>
      <c r="BC3" s="34" t="s">
        <v>154</v>
      </c>
      <c r="BD3" s="30">
        <f>Seccion1!φi_C1</f>
        <v>0.32000000000000012</v>
      </c>
      <c r="BF3" s="35"/>
      <c r="BG3" s="35"/>
      <c r="BJ3" s="35"/>
      <c r="BK3" s="35"/>
      <c r="BL3" s="35"/>
      <c r="BM3" s="35"/>
      <c r="BN3" s="35"/>
      <c r="BO3" s="35"/>
      <c r="BP3" s="36" t="s">
        <v>179</v>
      </c>
      <c r="BQ3" s="30"/>
      <c r="BR3" s="110"/>
      <c r="BS3" s="34" t="s">
        <v>163</v>
      </c>
      <c r="BT3" s="31">
        <f>P_sat_i_AT1_C2*CB3</f>
        <v>1427.4983081009464</v>
      </c>
      <c r="BU3" s="32"/>
      <c r="BV3" s="32"/>
      <c r="BW3" s="32"/>
      <c r="BX3" s="32"/>
      <c r="BY3" s="32"/>
      <c r="BZ3" s="32"/>
      <c r="CA3" s="34" t="s">
        <v>267</v>
      </c>
      <c r="CB3" s="116">
        <f>VLOOKUP(1,φi[],2,FALSE)</f>
        <v>0.65</v>
      </c>
      <c r="CC3" s="110"/>
      <c r="CD3" s="34" t="s">
        <v>164</v>
      </c>
      <c r="CE3" s="31">
        <f>P_sat_i_AT1_C2*CM3</f>
        <v>1647.1134324241689</v>
      </c>
      <c r="CF3" s="34"/>
      <c r="CG3" s="32"/>
      <c r="CH3" s="32"/>
      <c r="CI3" s="32"/>
      <c r="CJ3" s="32"/>
      <c r="CK3" s="32"/>
      <c r="CL3" s="34" t="s">
        <v>268</v>
      </c>
      <c r="CM3" s="116">
        <f>VLOOKUP(2,φi[],2,FALSE)</f>
        <v>0.75</v>
      </c>
      <c r="CN3" s="110"/>
      <c r="CO3" s="34" t="s">
        <v>165</v>
      </c>
      <c r="CP3" s="31">
        <f>P_sat_i_AT1_C2*CX3</f>
        <v>1756.9209945857801</v>
      </c>
      <c r="CQ3" s="32"/>
      <c r="CR3" s="32"/>
      <c r="CS3" s="32"/>
      <c r="CT3" s="32"/>
      <c r="CU3" s="32"/>
      <c r="CV3" s="32"/>
      <c r="CW3" s="34" t="s">
        <v>269</v>
      </c>
      <c r="CX3" s="116">
        <f>VLOOKUP(3,φi[],2,FALSE)</f>
        <v>0.8</v>
      </c>
      <c r="CY3" s="110"/>
      <c r="CZ3" s="34" t="s">
        <v>166</v>
      </c>
      <c r="DA3" s="31">
        <f>P_sat_i_AT1_C2*$DI$3</f>
        <v>1998.4976313413263</v>
      </c>
      <c r="DB3" s="34"/>
      <c r="DC3" s="32"/>
      <c r="DD3" s="32"/>
      <c r="DE3" s="32"/>
      <c r="DF3" s="32"/>
      <c r="DG3" s="32"/>
      <c r="DH3" s="34" t="s">
        <v>154</v>
      </c>
      <c r="DI3" s="213">
        <f>Seccion1!φi_C2</f>
        <v>0.91000000000000059</v>
      </c>
    </row>
    <row r="4" spans="1:113" x14ac:dyDescent="0.25">
      <c r="A4" s="37"/>
      <c r="B4" s="38"/>
      <c r="C4" s="39" t="s">
        <v>114</v>
      </c>
      <c r="D4" s="39" t="s">
        <v>115</v>
      </c>
      <c r="E4" s="40" t="s">
        <v>28</v>
      </c>
      <c r="F4" s="40" t="s">
        <v>184</v>
      </c>
      <c r="G4" s="40" t="s">
        <v>116</v>
      </c>
      <c r="H4" s="40" t="s">
        <v>117</v>
      </c>
      <c r="I4" s="40" t="s">
        <v>118</v>
      </c>
      <c r="J4" s="41" t="s">
        <v>119</v>
      </c>
      <c r="K4" s="42" t="s">
        <v>120</v>
      </c>
      <c r="L4" s="41" t="s">
        <v>121</v>
      </c>
      <c r="M4" s="42" t="s">
        <v>265</v>
      </c>
      <c r="N4" s="40" t="s">
        <v>146</v>
      </c>
      <c r="O4" s="40" t="s">
        <v>147</v>
      </c>
      <c r="P4" s="40" t="s">
        <v>167</v>
      </c>
      <c r="Q4" s="41" t="s">
        <v>266</v>
      </c>
      <c r="R4" s="40" t="s">
        <v>170</v>
      </c>
      <c r="S4" s="40" t="s">
        <v>178</v>
      </c>
      <c r="T4" s="40" t="s">
        <v>169</v>
      </c>
      <c r="U4" s="40" t="s">
        <v>168</v>
      </c>
      <c r="V4" s="40" t="s">
        <v>175</v>
      </c>
      <c r="W4" s="40" t="s">
        <v>176</v>
      </c>
      <c r="X4" s="42" t="s">
        <v>265</v>
      </c>
      <c r="Y4" s="40" t="s">
        <v>148</v>
      </c>
      <c r="Z4" s="40" t="s">
        <v>149</v>
      </c>
      <c r="AA4" s="40" t="s">
        <v>170</v>
      </c>
      <c r="AB4" s="40" t="s">
        <v>178</v>
      </c>
      <c r="AC4" s="40" t="s">
        <v>169</v>
      </c>
      <c r="AD4" s="40" t="s">
        <v>168</v>
      </c>
      <c r="AE4" s="40" t="s">
        <v>175</v>
      </c>
      <c r="AF4" s="40" t="s">
        <v>176</v>
      </c>
      <c r="AG4" s="40" t="s">
        <v>171</v>
      </c>
      <c r="AH4" s="41" t="s">
        <v>266</v>
      </c>
      <c r="AI4" s="42" t="s">
        <v>265</v>
      </c>
      <c r="AJ4" s="40" t="s">
        <v>150</v>
      </c>
      <c r="AK4" s="40" t="s">
        <v>151</v>
      </c>
      <c r="AL4" s="40" t="s">
        <v>170</v>
      </c>
      <c r="AM4" s="40" t="s">
        <v>178</v>
      </c>
      <c r="AN4" s="40" t="s">
        <v>169</v>
      </c>
      <c r="AO4" s="40" t="s">
        <v>168</v>
      </c>
      <c r="AP4" s="40" t="s">
        <v>175</v>
      </c>
      <c r="AQ4" s="40" t="s">
        <v>176</v>
      </c>
      <c r="AR4" s="40" t="s">
        <v>172</v>
      </c>
      <c r="AS4" s="41" t="s">
        <v>266</v>
      </c>
      <c r="AT4" s="42" t="s">
        <v>265</v>
      </c>
      <c r="AU4" s="40" t="s">
        <v>152</v>
      </c>
      <c r="AV4" s="40" t="s">
        <v>153</v>
      </c>
      <c r="AW4" s="40" t="s">
        <v>170</v>
      </c>
      <c r="AX4" s="40" t="s">
        <v>178</v>
      </c>
      <c r="AY4" s="40" t="s">
        <v>169</v>
      </c>
      <c r="AZ4" s="40" t="s">
        <v>168</v>
      </c>
      <c r="BA4" s="40" t="s">
        <v>175</v>
      </c>
      <c r="BB4" s="40" t="s">
        <v>176</v>
      </c>
      <c r="BC4" s="40" t="s">
        <v>177</v>
      </c>
      <c r="BD4" s="41" t="s">
        <v>266</v>
      </c>
      <c r="BF4" s="37"/>
      <c r="BG4" s="38"/>
      <c r="BH4" s="39" t="s">
        <v>114</v>
      </c>
      <c r="BI4" s="39" t="s">
        <v>115</v>
      </c>
      <c r="BJ4" s="40" t="s">
        <v>28</v>
      </c>
      <c r="BK4" s="40" t="s">
        <v>184</v>
      </c>
      <c r="BL4" s="40" t="s">
        <v>116</v>
      </c>
      <c r="BM4" s="40" t="s">
        <v>117</v>
      </c>
      <c r="BN4" s="40" t="s">
        <v>118</v>
      </c>
      <c r="BO4" s="41" t="s">
        <v>119</v>
      </c>
      <c r="BP4" s="42" t="s">
        <v>120</v>
      </c>
      <c r="BQ4" s="41" t="s">
        <v>121</v>
      </c>
      <c r="BR4" s="42" t="s">
        <v>265</v>
      </c>
      <c r="BS4" s="35" t="s">
        <v>146</v>
      </c>
      <c r="BT4" s="35" t="s">
        <v>147</v>
      </c>
      <c r="BU4" s="35" t="s">
        <v>170</v>
      </c>
      <c r="BV4" s="35" t="s">
        <v>178</v>
      </c>
      <c r="BW4" s="35" t="s">
        <v>169</v>
      </c>
      <c r="BX4" s="35" t="s">
        <v>168</v>
      </c>
      <c r="BY4" s="35" t="s">
        <v>175</v>
      </c>
      <c r="BZ4" s="35" t="s">
        <v>176</v>
      </c>
      <c r="CA4" s="35" t="s">
        <v>167</v>
      </c>
      <c r="CB4" s="41" t="s">
        <v>266</v>
      </c>
      <c r="CC4" s="42" t="s">
        <v>265</v>
      </c>
      <c r="CD4" s="40" t="s">
        <v>148</v>
      </c>
      <c r="CE4" s="40" t="s">
        <v>149</v>
      </c>
      <c r="CF4" s="40" t="s">
        <v>170</v>
      </c>
      <c r="CG4" s="40" t="s">
        <v>178</v>
      </c>
      <c r="CH4" s="40" t="s">
        <v>169</v>
      </c>
      <c r="CI4" s="40" t="s">
        <v>168</v>
      </c>
      <c r="CJ4" s="40" t="s">
        <v>175</v>
      </c>
      <c r="CK4" s="40" t="s">
        <v>176</v>
      </c>
      <c r="CL4" s="40" t="s">
        <v>171</v>
      </c>
      <c r="CM4" s="41" t="s">
        <v>266</v>
      </c>
      <c r="CN4" s="42" t="s">
        <v>265</v>
      </c>
      <c r="CO4" s="35" t="s">
        <v>150</v>
      </c>
      <c r="CP4" s="35" t="s">
        <v>151</v>
      </c>
      <c r="CQ4" s="35" t="s">
        <v>170</v>
      </c>
      <c r="CR4" s="35" t="s">
        <v>178</v>
      </c>
      <c r="CS4" s="35" t="s">
        <v>169</v>
      </c>
      <c r="CT4" s="35" t="s">
        <v>168</v>
      </c>
      <c r="CU4" s="35" t="s">
        <v>175</v>
      </c>
      <c r="CV4" s="35" t="s">
        <v>176</v>
      </c>
      <c r="CW4" s="35" t="s">
        <v>171</v>
      </c>
      <c r="CX4" s="41" t="s">
        <v>266</v>
      </c>
      <c r="CY4" s="42" t="s">
        <v>265</v>
      </c>
      <c r="CZ4" s="40" t="s">
        <v>152</v>
      </c>
      <c r="DA4" s="40" t="s">
        <v>153</v>
      </c>
      <c r="DB4" s="40" t="s">
        <v>170</v>
      </c>
      <c r="DC4" s="40" t="s">
        <v>178</v>
      </c>
      <c r="DD4" s="40" t="s">
        <v>169</v>
      </c>
      <c r="DE4" s="40" t="s">
        <v>168</v>
      </c>
      <c r="DF4" s="40" t="s">
        <v>175</v>
      </c>
      <c r="DG4" s="40" t="s">
        <v>176</v>
      </c>
      <c r="DH4" s="40" t="s">
        <v>171</v>
      </c>
      <c r="DI4" s="41" t="s">
        <v>266</v>
      </c>
    </row>
    <row r="5" spans="1:113" x14ac:dyDescent="0.25">
      <c r="A5" s="43"/>
      <c r="B5" s="15" t="s">
        <v>103</v>
      </c>
      <c r="C5" s="44" t="s">
        <v>107</v>
      </c>
      <c r="D5" s="44" t="s">
        <v>107</v>
      </c>
      <c r="E5" s="44" t="s">
        <v>107</v>
      </c>
      <c r="F5" s="44" t="s">
        <v>107</v>
      </c>
      <c r="G5" s="44" t="s">
        <v>107</v>
      </c>
      <c r="H5" s="44" t="s">
        <v>107</v>
      </c>
      <c r="I5" s="44" t="s">
        <v>107</v>
      </c>
      <c r="J5" s="45" t="s">
        <v>107</v>
      </c>
      <c r="K5" s="46">
        <f>ϴe_H1_C1</f>
        <v>-0.4</v>
      </c>
      <c r="L5" s="47">
        <f t="array" ref="L5:L18">IF(ISNUMBER(ϴn_H1_C1),IF(ϴn_H1_C1&gt;=0,610.5*EXP((17.269*ϴn_H1_C1)/(237.3+ϴn_H1_C1)),610.5*EXP((21.875*ϴn_H1_C1)/(265.5+ϴn_H1_C1))),NA())</f>
        <v>590.67850278800859</v>
      </c>
      <c r="M5" s="54"/>
      <c r="N5" s="44" t="s">
        <v>107</v>
      </c>
      <c r="O5" s="44"/>
      <c r="Q5" s="49"/>
      <c r="T5" s="48"/>
      <c r="U5" s="48"/>
      <c r="V5" s="48"/>
      <c r="W5" s="48"/>
      <c r="X5" s="54"/>
      <c r="Y5" s="44" t="s">
        <v>107</v>
      </c>
      <c r="Z5" s="44"/>
      <c r="AC5" s="48"/>
      <c r="AD5" s="48"/>
      <c r="AE5" s="48"/>
      <c r="AF5" s="48"/>
      <c r="AH5" s="49"/>
      <c r="AI5" s="54"/>
      <c r="AJ5" s="44" t="s">
        <v>107</v>
      </c>
      <c r="AK5" s="44"/>
      <c r="AN5" s="48"/>
      <c r="AO5" s="48"/>
      <c r="AP5" s="48"/>
      <c r="AQ5" s="48"/>
      <c r="AS5" s="49"/>
      <c r="AT5" s="54"/>
      <c r="AU5" s="44" t="s">
        <v>107</v>
      </c>
      <c r="AV5" s="44"/>
      <c r="AY5" s="48"/>
      <c r="AZ5" s="48"/>
      <c r="BA5" s="48"/>
      <c r="BB5" s="48"/>
      <c r="BD5" s="49"/>
      <c r="BF5" s="43"/>
      <c r="BG5" s="15" t="s">
        <v>103</v>
      </c>
      <c r="BH5" s="44" t="s">
        <v>107</v>
      </c>
      <c r="BI5" s="44" t="s">
        <v>107</v>
      </c>
      <c r="BJ5" s="44" t="s">
        <v>107</v>
      </c>
      <c r="BK5" s="44" t="s">
        <v>107</v>
      </c>
      <c r="BL5" s="44" t="s">
        <v>107</v>
      </c>
      <c r="BM5" s="44" t="s">
        <v>107</v>
      </c>
      <c r="BN5" s="44" t="s">
        <v>107</v>
      </c>
      <c r="BO5" s="45" t="s">
        <v>107</v>
      </c>
      <c r="BP5" s="46">
        <f>ϴe_H1_C2</f>
        <v>-0.4</v>
      </c>
      <c r="BQ5" s="52">
        <f t="array" ref="BQ5:BQ18">IF(ISNUMBER(ϴn_H1_C2),IF(ϴn_H1_C2&gt;=0,610.5*EXP((17.269*ϴn_H1_C2)/(237.3+ϴn_H1_C2)),610.5*EXP((21.875*ϴn_H1_C2)/(265.5+ϴn_H1_C2))),NA())</f>
        <v>590.67850278800859</v>
      </c>
      <c r="BR5" s="54"/>
      <c r="BS5" s="44" t="s">
        <v>107</v>
      </c>
      <c r="BT5" s="44"/>
      <c r="CB5" s="49"/>
      <c r="CC5" s="54"/>
      <c r="CD5" s="44" t="s">
        <v>107</v>
      </c>
      <c r="CE5" s="44"/>
      <c r="CM5" s="49"/>
      <c r="CN5" s="54"/>
      <c r="CO5" s="44" t="s">
        <v>107</v>
      </c>
      <c r="CP5" s="44"/>
      <c r="CQ5" s="50"/>
      <c r="CX5" s="49"/>
      <c r="CY5" s="54"/>
      <c r="CZ5" s="44" t="s">
        <v>107</v>
      </c>
      <c r="DA5" s="44"/>
      <c r="DI5" s="49"/>
    </row>
    <row r="6" spans="1:113" x14ac:dyDescent="0.25">
      <c r="A6" s="43"/>
      <c r="B6" s="15" t="s">
        <v>106</v>
      </c>
      <c r="C6" s="44" t="s">
        <v>107</v>
      </c>
      <c r="D6" s="325">
        <f>Rse_H1</f>
        <v>0.04</v>
      </c>
      <c r="E6" s="44" t="s">
        <v>107</v>
      </c>
      <c r="F6" s="44" t="s">
        <v>107</v>
      </c>
      <c r="G6" s="51">
        <v>0</v>
      </c>
      <c r="H6" s="48">
        <f>IF(B6="",NA(),SUM($D$6:$D6))</f>
        <v>0.04</v>
      </c>
      <c r="I6" s="50">
        <v>0</v>
      </c>
      <c r="J6" s="52">
        <f>IF(I6="",NA(),SUM($I$6:$I6))</f>
        <v>0</v>
      </c>
      <c r="K6" s="53">
        <f t="array" ref="K6:K18">ϴe_H1_C1+Rn_H1_C1*(ϴi_H1_C1-ϴe_H1_C1)/RT_H1_C1</f>
        <v>-0.16816007705932362</v>
      </c>
      <c r="L6" s="47">
        <v>602.09456380131962</v>
      </c>
      <c r="M6" s="54">
        <f>6.54+14.526*LN(N6/1000)+0.7389*LN(N6/1000)^2+0.09486*LN(N6/1000)^3+0.4569*(N6/1000)^0.1984</f>
        <v>-1.2170010266451134</v>
      </c>
      <c r="N6" s="51">
        <f t="array" ref="N6:N18">IFERROR(((Pi_HR_1_H1_C1-Pe_H1_C1)/(Sd_T_H1_C1-$J$6))*$J$6:$J$18+Pe_H1_C1,NA())</f>
        <v>561.14457764860811</v>
      </c>
      <c r="O6" s="55">
        <f t="array" ref="O6:O18">IF(N6:N18&gt;=$L$6:$L$18,1,0)</f>
        <v>0</v>
      </c>
      <c r="P6" s="51">
        <f t="shared" ref="P6:P18" ca="1" si="0">IF(ISNA(S6),
_xlfn.FORECAST.LINEAR($J6,INDIRECT(V6),INDIRECT(W6)),S6)</f>
        <v>561.14457764860811</v>
      </c>
      <c r="Q6" s="47"/>
      <c r="R6" s="55">
        <f t="array" ref="R6">SUM(IF(ISNUMBER(S$6:S6),1,0))+IF($A6&gt;Capas_AT1_C1,1,0)</f>
        <v>1</v>
      </c>
      <c r="S6" s="51">
        <f>IF(O6=1,$L6,Pe_H1_C1)</f>
        <v>561.14457764860811</v>
      </c>
      <c r="T6" s="51">
        <f t="shared" ref="T6:T18" si="1">VLOOKUP($A7,R$6:S$18,2,FALSE)</f>
        <v>561.14457764860811</v>
      </c>
      <c r="U6" s="51">
        <f t="shared" ref="U6:U18" si="2">INDEX($J$6:$J$18,MATCH(T6,S$6:S$18,0))</f>
        <v>0</v>
      </c>
      <c r="V6" s="48" t="str">
        <f t="shared" ref="V6:V18" si="3">CONCATENATE(ADDRESS(ROW(T$6)-1+R6,COLUMN(T$6)),":",ADDRESS(ROW(T$6)+R6,COLUMN(T$6)))</f>
        <v>$T$6:$T$7</v>
      </c>
      <c r="W6" s="48" t="str">
        <f t="shared" ref="W6:W18" si="4">CONCATENATE(ADDRESS(ROW(U$6)-1+R6,COLUMN(U$6)),":",ADDRESS(ROW(U$6)+R6,COLUMN(U$6)))</f>
        <v>$U$6:$U$7</v>
      </c>
      <c r="X6" s="54">
        <f>6.54+14.526*LN(Y6/1000)+0.7389*LN(Y6/1000)^2+0.09486*LN(Y6/1000)^3+0.4569*(Y6/1000)^0.1984</f>
        <v>-1.2170010266451134</v>
      </c>
      <c r="Y6" s="50">
        <f t="array" ref="Y6:Y18">IFERROR(((Pi_HR_2_H1_C1-Pe_H1_C1)/(Sd_T_H1_C1-$J$6))*$J$6:$J$18+Pe_H1_C1,NA())</f>
        <v>561.14457764860811</v>
      </c>
      <c r="Z6" s="55">
        <f t="array" ref="Z6:Z18">IF(Y6:Y18&gt;=$L$6:$L$18,1,0)</f>
        <v>0</v>
      </c>
      <c r="AA6" s="55">
        <f t="array" ref="AA6">SUM(IF(ISNUMBER(AB$6:AB6),1,0))+IF($A6&gt;Capas_AT1_C1,1,0)</f>
        <v>1</v>
      </c>
      <c r="AB6" s="51">
        <f>IF(Y6=1,$L6,Pe_H1_C1)</f>
        <v>561.14457764860811</v>
      </c>
      <c r="AC6" s="51">
        <f>VLOOKUP($A7,AA$6:AB$18,2,FALSE)</f>
        <v>561.14457764860811</v>
      </c>
      <c r="AD6" s="51">
        <f t="shared" ref="AD6:AD18" si="5">INDEX($J$6:$J$18,MATCH(AC6,AB$6:AB$18,0))</f>
        <v>0</v>
      </c>
      <c r="AE6" s="48" t="str">
        <f>CONCATENATE(ADDRESS(ROW(AC$6)-1+AA6,COLUMN(AC$6)),":",ADDRESS(ROW(AC$6)+AA6,COLUMN(AC$6)))</f>
        <v>$AC$6:$AC$7</v>
      </c>
      <c r="AF6" s="48" t="str">
        <f>CONCATENATE(ADDRESS(ROW(AD$6)-1+AA6,COLUMN(AD$6)),":",ADDRESS(ROW(AD$6)+AA6,COLUMN(AD$6)))</f>
        <v>$AD$6:$AD$7</v>
      </c>
      <c r="AG6" s="50">
        <f t="shared" ref="AG6:AG18" ca="1" si="6">IF(ISNA(AB6),
_xlfn.FORECAST.LINEAR($J6,INDIRECT(AE6),INDIRECT(AF6)),AB6)</f>
        <v>561.14457764860811</v>
      </c>
      <c r="AH6" s="47"/>
      <c r="AI6" s="54">
        <f>6.54+14.526*LN(AJ6/1000)+0.7389*LN(AJ6/1000)^2+0.09486*LN(AJ6/1000)^3+0.4569*(AJ6/1000)^0.1984</f>
        <v>-1.2170010266451134</v>
      </c>
      <c r="AJ6" s="50">
        <f t="array" ref="AJ6:AJ18">IFERROR(((Pi_HR_3_H1_C1-Pe_H1_C1)/(Sd_T_H1_C1-$J$6))*$J$6:$J$18+Pe_H1_C1,NA())</f>
        <v>561.14457764860811</v>
      </c>
      <c r="AK6" s="55">
        <f t="array" ref="AK6:AK18">IF(AJ6:AJ18&gt;=$L$6:$L$18,1,0)</f>
        <v>0</v>
      </c>
      <c r="AL6" s="55">
        <f t="array" ref="AL6">SUM(IF(ISNUMBER(AM$6:AM6),1,0))+IF($A6&gt;Capas_AT1_C1,1,0)</f>
        <v>1</v>
      </c>
      <c r="AM6" s="51">
        <f>IF(AJ6=1,$L6,Pe_H1_C1)</f>
        <v>561.14457764860811</v>
      </c>
      <c r="AN6" s="51">
        <f>VLOOKUP($A7,AL$6:AM$18,2,FALSE)</f>
        <v>561.14457764860811</v>
      </c>
      <c r="AO6" s="51">
        <f t="shared" ref="AO6:AO18" si="7">INDEX($J$6:$J$18,MATCH(AN6,AM$6:AM$18,0))</f>
        <v>0</v>
      </c>
      <c r="AP6" s="48" t="str">
        <f>CONCATENATE(ADDRESS(ROW(AN$6)-1+AL6,COLUMN(AN$6)),":",ADDRESS(ROW(AN$6)+AL6,COLUMN(AN$6)))</f>
        <v>$AN$6:$AN$7</v>
      </c>
      <c r="AQ6" s="48" t="str">
        <f>CONCATENATE(ADDRESS(ROW(AO$6)-1+AL6,COLUMN(AO$6)),":",ADDRESS(ROW(AO$6)+AL6,COLUMN(AO$6)))</f>
        <v>$AO$6:$AO$7</v>
      </c>
      <c r="AR6" s="50">
        <f t="shared" ref="AR6:AR18" ca="1" si="8">IF(ISNA(AM6),
_xlfn.FORECAST.LINEAR($J6,INDIRECT(AP6),INDIRECT(AQ6)),AM6)</f>
        <v>561.14457764860811</v>
      </c>
      <c r="AS6" s="47"/>
      <c r="AT6" s="54">
        <f>6.54+14.526*LN(AU6/1000)+0.7389*LN(AU6/1000)^2+0.09486*LN(AU6/1000)^3+0.4569*(AU6/1000)^0.1984</f>
        <v>-1.2170010266451134</v>
      </c>
      <c r="AU6" s="50">
        <f t="array" ref="AU6:AU18">IFERROR(((Pi_HR_4_H1_C1-Pe_H1_C1)/(Sd_T_H1_C1-$J$6))*$J$6:$J$18+Pe_H1_C1,NA())</f>
        <v>561.14457764860811</v>
      </c>
      <c r="AV6" s="55">
        <f t="array" ref="AV6:AV18">IF(AU6:AU18&gt;=$L$6:$L$18,1,0)</f>
        <v>0</v>
      </c>
      <c r="AW6" s="55">
        <f t="array" ref="AW6">SUM(IF(ISNUMBER(AX$6:AX6),1,0))+IF($A6&gt;Capas_AT1_C1,1,0)</f>
        <v>1</v>
      </c>
      <c r="AX6" s="50">
        <f>IF(AU6=1,$L6,Pe_H1_C1)</f>
        <v>561.14457764860811</v>
      </c>
      <c r="AY6" s="51">
        <f>VLOOKUP($A7,AW$6:AX$18,2,FALSE)</f>
        <v>561.14457764860811</v>
      </c>
      <c r="AZ6" s="51">
        <f t="shared" ref="AZ6:AZ18" si="9">INDEX($J$6:$J$18,MATCH(AY6,$AX$6:$AX$18,0))</f>
        <v>0</v>
      </c>
      <c r="BA6" s="48" t="str">
        <f>CONCATENATE(ADDRESS(ROW(AY$6)-1+AW6,COLUMN(AY$6)),":",ADDRESS(ROW(AY$6)+AW6,COLUMN(AY$6)))</f>
        <v>$AY$6:$AY$7</v>
      </c>
      <c r="BB6" s="48" t="str">
        <f>CONCATENATE(ADDRESS(ROW(AZ$6)-1+AW6,COLUMN(AZ$6)),":",ADDRESS(ROW(AZ$6)+AW6,COLUMN(AZ$6)))</f>
        <v>$AZ$6:$AZ$7</v>
      </c>
      <c r="BC6" s="50">
        <f t="shared" ref="BC6:BC18" ca="1" si="10">IF(ISNA(AX6),
_xlfn.FORECAST.LINEAR($J6,INDIRECT(BA6),INDIRECT(BB6)),AX6)</f>
        <v>561.14457764860811</v>
      </c>
      <c r="BD6" s="47"/>
      <c r="BF6" s="43"/>
      <c r="BG6" s="15" t="s">
        <v>106</v>
      </c>
      <c r="BH6" s="44" t="s">
        <v>107</v>
      </c>
      <c r="BI6" s="50">
        <f>$BN$24</f>
        <v>0.04</v>
      </c>
      <c r="BJ6" s="44" t="s">
        <v>107</v>
      </c>
      <c r="BK6" s="44" t="s">
        <v>107</v>
      </c>
      <c r="BL6" s="51">
        <v>0</v>
      </c>
      <c r="BM6" s="48">
        <f>IF(BG6="",NA(),SUM($BI$6:$BI6))</f>
        <v>0.04</v>
      </c>
      <c r="BN6" s="51">
        <v>0</v>
      </c>
      <c r="BO6" s="52">
        <f>IF(BN6="",NA(),SUM($BN$6:$BN6))</f>
        <v>0</v>
      </c>
      <c r="BP6" s="53">
        <f t="array" ref="BP6:BP18">ϴe_H1_C2+Rn_H1_C2*(ϴi_H1_C2-ϴe_H1_C2)/RT_H1_C2</f>
        <v>-0.1713155488543551</v>
      </c>
      <c r="BQ6" s="52">
        <v>601.93784846556855</v>
      </c>
      <c r="BR6" s="54">
        <f>6.54+14.526*LN(BS6/1000)+0.7389*LN(BS6/1000)^2+0.09486*LN(BS6/1000)^3+0.4569*(BS6/1000)^0.1984</f>
        <v>-1.2170010266451134</v>
      </c>
      <c r="BS6" s="50">
        <f t="array" ref="BS6:BS18">IFERROR(((Pi_HR_1_H1_C2-Pe_H1_C2)/(Sd_T_H1_C2-$BO$6))*$BO$6:$BO$18+Pe_H1_C2,NA())</f>
        <v>561.14457764860811</v>
      </c>
      <c r="BT6" s="55">
        <f t="array" ref="BT6:BT18">IF(BS6:BS18&gt;=$BQ$6:$BQ$18,1,0)</f>
        <v>0</v>
      </c>
      <c r="BU6" s="55">
        <f t="array" ref="BU6">SUM(IF(ISNUMBER(BV$6:BV6),1,0))+IF($BF6&gt;Capas_AT1_C2,1,0)</f>
        <v>1</v>
      </c>
      <c r="BV6" s="51">
        <f>IF(BS6=1,$BQ6,Pe_H1_C2)</f>
        <v>561.14457764860811</v>
      </c>
      <c r="BW6" s="51">
        <f>VLOOKUP($BF7,BU$6:BV$18,2,FALSE)</f>
        <v>561.14457764860811</v>
      </c>
      <c r="BX6" s="51">
        <f>INDEX($BO$6:$BO$18,MATCH(BW6,BV$6:BV$18,0))</f>
        <v>0</v>
      </c>
      <c r="BY6" s="48" t="str">
        <f>CONCATENATE(ADDRESS(ROW(BW$6)-1+BU6,COLUMN(BW$6)),":",ADDRESS(ROW(BW$6)+BU6,COLUMN(BW$6)))</f>
        <v>$BW$6:$BW$7</v>
      </c>
      <c r="BZ6" s="48" t="str">
        <f>CONCATENATE(ADDRESS(ROW(BX$6)-1+BU6,COLUMN(BX$6)),":",ADDRESS(ROW(BX$6)+BU6,COLUMN(BX$6)))</f>
        <v>$BX$6:$BX$7</v>
      </c>
      <c r="CA6" s="50">
        <f ca="1">IF(ISNA(BV6),
_xlfn.FORECAST.LINEAR($BO6,INDIRECT(BY6),INDIRECT(BZ6)),BV6)</f>
        <v>561.14457764860811</v>
      </c>
      <c r="CB6" s="47"/>
      <c r="CC6" s="54">
        <f>6.54+14.526*LN(CD6/1000)+0.7389*LN(CD6/1000)^2+0.09486*LN(CD6/1000)^3+0.4569*(CD6/1000)^0.1984</f>
        <v>-1.2170010266451134</v>
      </c>
      <c r="CD6" s="50">
        <f t="array" ref="CD6:CD18">IFERROR(((Pi_HR_2_H1_C2-Pe_H1_C2)/(Sd_T_H1_C2-$BO$6))*$BO$6:$BO$18+Pe_H1_C2,NA())</f>
        <v>561.14457764860811</v>
      </c>
      <c r="CE6" s="55">
        <f t="array" ref="CE6:CE18">IF(CD6:CD18&gt;=$BQ$6:$BQ$18,1,0)</f>
        <v>0</v>
      </c>
      <c r="CF6" s="55">
        <f t="array" ref="CF6">SUM(IF(ISNUMBER(CG$6:CG6),1,0))+IF($BF6&gt;Capas_AT1_C2,1,0)</f>
        <v>1</v>
      </c>
      <c r="CG6" s="51">
        <f>IF(CD6=1,$BQ6,Pe_H1_C2)</f>
        <v>561.14457764860811</v>
      </c>
      <c r="CH6" s="51">
        <f>VLOOKUP($BF7,CF$6:CG$18,2,FALSE)</f>
        <v>561.14457764860811</v>
      </c>
      <c r="CI6" s="51">
        <f>INDEX($BO$6:$BO$18,MATCH(CH6,CG$6:CG$18,0))</f>
        <v>0</v>
      </c>
      <c r="CJ6" s="48" t="str">
        <f>CONCATENATE(ADDRESS(ROW(CH$6)-1+CF6,COLUMN(CH$6)),":",ADDRESS(ROW(CH$6)+CF6,COLUMN(CH$6)))</f>
        <v>$CH$6:$CH$7</v>
      </c>
      <c r="CK6" s="48" t="str">
        <f>CONCATENATE(ADDRESS(ROW(CI$6)-1+CF6,COLUMN(CI$6)),":",ADDRESS(ROW(CI$6)+CF6,COLUMN(CI$6)))</f>
        <v>$CI$6:$CI$7</v>
      </c>
      <c r="CL6" s="50">
        <f ca="1">IF(ISNA(CG6),
_xlfn.FORECAST.LINEAR($BO6,INDIRECT(CJ6),INDIRECT(CK6)),CG6)</f>
        <v>561.14457764860811</v>
      </c>
      <c r="CM6" s="47"/>
      <c r="CN6" s="54">
        <f>6.54+14.526*LN(CO6/1000)+0.7389*LN(CO6/1000)^2+0.09486*LN(CO6/1000)^3+0.4569*(CO6/1000)^0.1984</f>
        <v>-1.2170010266451134</v>
      </c>
      <c r="CO6" s="50">
        <f t="array" ref="CO6:CO18">IFERROR(((Pi_HR_3_H1_C2-Pe_H1_C2)/(Sd_T_H1_C2-$BO$6))*$BO$6:$BO$18+Pe_H1_C2,NA())</f>
        <v>561.14457764860811</v>
      </c>
      <c r="CP6" s="55">
        <f t="array" ref="CP6:CP18">IF(CO6:CO18&gt;=$BQ$6:$BQ$18,1,0)</f>
        <v>0</v>
      </c>
      <c r="CQ6" s="55">
        <f t="array" ref="CQ6">SUM(IF(ISNUMBER(CR$6:CR6),1,0))+IF($BF6&gt;Capas_AT1_C2,1,0)</f>
        <v>1</v>
      </c>
      <c r="CR6" s="51">
        <f>IF(CO6=1,$BQ6,Pe_H1_C2)</f>
        <v>561.14457764860811</v>
      </c>
      <c r="CS6" s="51">
        <f>VLOOKUP($BF7,CQ$6:CR$18,2,FALSE)</f>
        <v>561.14457764860811</v>
      </c>
      <c r="CT6" s="51">
        <f>INDEX($BO$6:$BO$18,MATCH(CS6,CR$6:CR$18,0))</f>
        <v>0</v>
      </c>
      <c r="CU6" s="48" t="str">
        <f>CONCATENATE(ADDRESS(ROW(CS$6)-1+CQ6,COLUMN(CS$6)),":",ADDRESS(ROW(CS$6)+CQ6,COLUMN(CS$6)))</f>
        <v>$CS$6:$CS$7</v>
      </c>
      <c r="CV6" s="48" t="str">
        <f>CONCATENATE(ADDRESS(ROW(CT$6)-1+CQ6,COLUMN(CT$6)),":",ADDRESS(ROW(CT$6)+CQ6,COLUMN(CT$6)))</f>
        <v>$CT$6:$CT$7</v>
      </c>
      <c r="CW6" s="50">
        <f ca="1">IF(ISNA(CR6),
_xlfn.FORECAST.LINEAR($BO6,INDIRECT(CU6),INDIRECT(CV6)),CR6)</f>
        <v>561.14457764860811</v>
      </c>
      <c r="CX6" s="47"/>
      <c r="CY6" s="54">
        <f>6.54+14.526*LN(CZ6/1000)+0.7389*LN(CZ6/1000)^2+0.09486*LN(CZ6/1000)^3+0.4569*(CZ6/1000)^0.1984</f>
        <v>-1.2170010266451134</v>
      </c>
      <c r="CZ6" s="50">
        <f t="array" ref="CZ6:CZ18">IFERROR(((Pi_HR_4_H1_C2-Pe_H1_C2)/(Sd_T_H1_C2-$BO$6))*$BO$6:$BO$18+Pe_H1_C2,NA())</f>
        <v>561.14457764860811</v>
      </c>
      <c r="DA6" s="55">
        <f t="array" ref="DA6:DA18">IF(CZ6:CZ18&gt;=$BQ$6:$BQ$18,1,0)</f>
        <v>0</v>
      </c>
      <c r="DB6" s="55">
        <f t="array" ref="DB6">SUM(IF(ISNUMBER(DC$6:DC6),1,0))+IF($BF6&gt;Capas_AT1_C2,1,0)</f>
        <v>1</v>
      </c>
      <c r="DC6" s="51">
        <f>IF(CZ6=1,$BQ6,Pe_H1_C2)</f>
        <v>561.14457764860811</v>
      </c>
      <c r="DD6" s="51">
        <f>VLOOKUP($BF7,DB$6:DC$18,2,FALSE)</f>
        <v>561.14457764860811</v>
      </c>
      <c r="DE6" s="51">
        <f>INDEX($BO$6:$BO$18,MATCH(DD6,DC$6:DC$18,0))</f>
        <v>0</v>
      </c>
      <c r="DF6" s="48" t="str">
        <f>CONCATENATE(ADDRESS(ROW(DD$6)-1+DB6,COLUMN(DD$6)),":",ADDRESS(ROW(DD$6)+DB6,COLUMN(DD$6)))</f>
        <v>$DD$6:$DD$7</v>
      </c>
      <c r="DG6" s="48" t="str">
        <f>CONCATENATE(ADDRESS(ROW(DE$6)-1+DB6,COLUMN(DE$6)),":",ADDRESS(ROW(DE$6)+DB6,COLUMN(DE$6)))</f>
        <v>$DE$6:$DE$7</v>
      </c>
      <c r="DH6" s="50">
        <f ca="1">IF(ISNA(DC6),
_xlfn.FORECAST.LINEAR($BO6,INDIRECT(DF6),INDIRECT(DG6)),DC6)</f>
        <v>561.14457764860811</v>
      </c>
      <c r="DI6" s="47"/>
    </row>
    <row r="7" spans="1:113" x14ac:dyDescent="0.25">
      <c r="A7" s="43">
        <v>1</v>
      </c>
      <c r="B7" s="15" t="str">
        <f t="shared" ref="B7:B18" si="11">CHOOSE(IF(A7&lt;Capas_AT1_C1,1,IF(A7=Capas_AT1_C1,2,IF(A7=Capas_AT1_C1+1,3,4))),"Interfase "&amp;A7,"Superficie interior","Interior",NA())</f>
        <v>Interfase 1</v>
      </c>
      <c r="C7" s="56">
        <f t="array" ref="C7:C18">VLOOKUP(Seccion1!lista_Materiales_C1,Materiales[],7,FALSE)</f>
        <v>6.0000000000000001E-3</v>
      </c>
      <c r="D7" s="325">
        <f>IF(B7="Interior",Rsi_H1,IFERROR(IF(VLOOKUP(Seccion1!$B24,Materiales[],3,FALSE)=Aux!$AP$10,IF(LEFT(VLOOKUP(Seccion1!$B24,Materiales[],5,FALSE),1)="C",HLOOKUP(RIGHT(VLOOKUP(Seccion1!$B24,Materiales[],5,FALSE),4),IF($H$22=Aux!$AK$11,Aire_horizontal[#All],IF($H$22=Aux!$AK$12,Aire_ascendente[#All],Aire_descendente[#All])),MATCH(ROUND(VLOOKUP(Seccion1!$B24,Materiales[],7,FALSE)*1000,0),IF($H$22=Aux!$AK$11,Aire_horizontal[Espesor],IF($H$22=Aux!$AK$12,Aire_ascendente[Espesor],Aire_descendente[Espesor])),1)+1,FALSE),IF(VLOOKUP(Seccion1!$B24,Materiales[],5,FALSE)=Aux!$AQ$29,IF(MID(VLOOKUP(Seccion1!$B24,Materiales[],8,FALSE),1,2)="R=",VALUE(RIGHT(VLOOKUP(Seccion1!$B24,Materiales[],8,FALSE),LEN(VLOOKUP(Seccion1!$B24,Materiales[],8,FALSE))-2)),NA()),VLOOKUP(VLOOKUP(Seccion1!$B24,Materiales[],5,FALSE),Aux!$AQ$26:$AR$29,2,FALSE))),C7/VLOOKUP(Seccion1!$B24,Materiales[],8,FALSE)),NA()))</f>
        <v>2.7272727272727275E-2</v>
      </c>
      <c r="E7" s="55" t="str">
        <f t="array" ref="E7:E18">CHOOSE(MATCH(LEFT(VLOOKUP(Seccion1!lista_Materiales_C1,Materiales[],9,FALSE),2),Aux!$AU$17:$AU$22,0),IF(RIGHT(VLOOKUP(Seccion1!lista_Materiales_C1,Materiales[],9,FALSE),LEN(VLOOKUP(Seccion1!lista_Materiales_C1,Materiales[],9,FALSE))-4)="inf",Aux!$AM$6,RIGHT(VLOOKUP(Seccion1!lista_Materiales_C1,Materiales[],9,FALSE),LEN(VLOOKUP(Seccion1!lista_Materiales_C1,Materiales[],9,FALSE))-4)),"Sd",IFERROR(δ_0/VALUE(MID(VLOOKUP(Seccion1!lista_Materiales_C1,Materiales[],9,FALSE),5,LEN(VLOOKUP(Seccion1!lista_Materiales_C1,Materiales[],9,FALSE))-12)),NA()),IFERROR(δ_0/(d_AT1_C1*VALUE(MID(VLOOKUP(Seccion1!lista_Materiales_C1,Materiales[],9,FALSE),5,LEN(VLOOKUP(Seccion1!lista_Materiales_C1,Materiales[],9,FALSE))-13))),NA()),IFERROR((δ_0*VALUE(MID(VLOOKUP(Seccion1!lista_Materiales_C1,Materiales[],9,FALSE),5,LEN(VLOOKUP(Seccion1!lista_Materiales_C1,Materiales[],9,FALSE))-13)))/d_AT1_C1,NA()),"resistencia MN","permeabilidad mmHg")</f>
        <v>139,189</v>
      </c>
      <c r="F7" s="51" t="b">
        <f t="array" ref="F7:F18">IF(VLOOKUP(Seccion1!lista_Materiales_C1,Materiales[],3,FALSE)=Aux!$AP$10,IF(LEFT(VLOOKUP(Seccion1!lista_Materiales_C1,Materiales[],5,FALSE),1)="C",TRUE,FALSE),FALSE)</f>
        <v>0</v>
      </c>
      <c r="G7" s="56">
        <f>IF(OR(B7="",B7="Interior"),NA(),SUM($C$7:$C7))</f>
        <v>6.0000000000000001E-3</v>
      </c>
      <c r="H7" s="48">
        <f>IF(B7="",NA(),SUM($D$6:$D7))</f>
        <v>6.7272727272727276E-2</v>
      </c>
      <c r="I7" s="50">
        <f t="array" ref="I7:I18">IF(μ_H1_C1="Sd",VALUE(MID(VLOOKUP(Seccion1!lista_Materiales_C1,Materiales[],9,FALSE),5,LEN(VLOOKUP(Seccion1!lista_Materiales_C1,Materiales[],9,FALSE))-6)),IF(verif_aire_H1_C1,0.01,IF(d_AT1_C1*μ_H1_C1&gt;0,d_AT1_C1*μ_H1_C1,NA())))</f>
        <v>0.83513399999999993</v>
      </c>
      <c r="J7" s="52">
        <f>IF(I7="",NA(),SUM($I$6:$I7))</f>
        <v>0.83513399999999993</v>
      </c>
      <c r="K7" s="53">
        <v>-1.0087402327044193E-2</v>
      </c>
      <c r="L7" s="47">
        <v>609.99279377079426</v>
      </c>
      <c r="M7" s="54">
        <f t="shared" ref="M7:M18" si="12">6.54+14.526*LN(N7/1000)+0.7389*LN(N7/1000)^2+0.09486*LN(N7/1000)^3+0.4569*(N7/1000)^0.1984</f>
        <v>0.67078633623581774</v>
      </c>
      <c r="N7" s="51">
        <v>642.59255665350463</v>
      </c>
      <c r="O7" s="55">
        <v>1</v>
      </c>
      <c r="P7" s="51">
        <f t="shared" ca="1" si="0"/>
        <v>609.99279377079426</v>
      </c>
      <c r="Q7" s="47"/>
      <c r="R7" s="55">
        <f t="array" ref="R7">SUM(IF(ISNUMBER(S$6:S7),1,0))+IF($A7&gt;Capas_AT1_C1,1,0)</f>
        <v>2</v>
      </c>
      <c r="S7" s="51">
        <f t="shared" ref="S7:S18" si="13">IF(O7=1,$L7,IF($B7="Superficie interior",Pi_HR_1_H1_C1,NA()))</f>
        <v>609.99279377079426</v>
      </c>
      <c r="T7" s="51">
        <f t="shared" si="1"/>
        <v>609.99279377079426</v>
      </c>
      <c r="U7" s="51">
        <f t="shared" si="2"/>
        <v>0.83513399999999993</v>
      </c>
      <c r="V7" s="48" t="str">
        <f t="shared" si="3"/>
        <v>$T$7:$T$8</v>
      </c>
      <c r="W7" s="48" t="str">
        <f t="shared" si="4"/>
        <v>$U$7:$U$8</v>
      </c>
      <c r="X7" s="54">
        <f t="shared" ref="X7:X18" si="14">6.54+14.526*LN(Y7/1000)+0.7389*LN(Y7/1000)^2+0.09486*LN(Y7/1000)^3+0.4569*(Y7/1000)^0.1984</f>
        <v>1.1145088152433513</v>
      </c>
      <c r="Y7" s="50">
        <v>663.23909790599782</v>
      </c>
      <c r="Z7" s="55">
        <v>1</v>
      </c>
      <c r="AA7" s="55">
        <f t="array" ref="AA7">SUM(IF(ISNUMBER(AB$6:AB7),1,0))+IF($A7&gt;Capas_AT1_C1,1,0)</f>
        <v>2</v>
      </c>
      <c r="AB7" s="51">
        <f t="shared" ref="AB7:AB18" si="15">IF(Z7=1,$L7,IF($B7="Superficie interior",Pi_HR_2_H1_C1,NA()))</f>
        <v>609.99279377079426</v>
      </c>
      <c r="AC7" s="51">
        <f t="shared" ref="AC7:AC18" si="16">VLOOKUP($A8,AA$6:AB$18,2,FALSE)</f>
        <v>609.99279377079426</v>
      </c>
      <c r="AD7" s="51">
        <f t="shared" si="5"/>
        <v>0.83513399999999993</v>
      </c>
      <c r="AE7" s="48" t="str">
        <f t="shared" ref="AE7:AE18" si="17">CONCATENATE(ADDRESS(ROW(AC$6)-1+AA7,COLUMN(AC$6)),":",ADDRESS(ROW(AC$6)+AA7,COLUMN(AC$6)))</f>
        <v>$AC$7:$AC$8</v>
      </c>
      <c r="AF7" s="48" t="str">
        <f t="shared" ref="AF7:AF18" si="18">CONCATENATE(ADDRESS(ROW(AD$6)-1+AA7,COLUMN(AD$6)),":",ADDRESS(ROW(AD$6)+AA7,COLUMN(AD$6)))</f>
        <v>$AD$7:$AD$8</v>
      </c>
      <c r="AG7" s="50">
        <f t="shared" ca="1" si="6"/>
        <v>609.99279377079426</v>
      </c>
      <c r="AH7" s="47"/>
      <c r="AI7" s="54">
        <f t="shared" ref="AI7:AI18" si="19">6.54+14.526*LN(AJ7/1000)+0.7389*LN(AJ7/1000)^2+0.09486*LN(AJ7/1000)^3+0.4569*(AJ7/1000)^0.1984</f>
        <v>1.3316735480360087</v>
      </c>
      <c r="AJ7" s="50">
        <v>673.56236853224448</v>
      </c>
      <c r="AK7" s="55">
        <v>1</v>
      </c>
      <c r="AL7" s="55">
        <f t="array" ref="AL7">SUM(IF(ISNUMBER(AM$6:AM7),1,0))+IF($A7&gt;Capas_AT1_C1,1,0)</f>
        <v>2</v>
      </c>
      <c r="AM7" s="51">
        <f t="shared" ref="AM7:AM18" si="20">IF(AK7=1,$L7,IF($B7="Superficie interior",Pi_HR_3_H1_C1,NA()))</f>
        <v>609.99279377079426</v>
      </c>
      <c r="AN7" s="51">
        <f t="shared" ref="AN7:AN17" si="21">VLOOKUP($A8,AL$6:AM$18,2,FALSE)</f>
        <v>609.99279377079426</v>
      </c>
      <c r="AO7" s="51">
        <f t="shared" si="7"/>
        <v>0.83513399999999993</v>
      </c>
      <c r="AP7" s="48" t="str">
        <f t="shared" ref="AP7:AP18" si="22">CONCATENATE(ADDRESS(ROW(AN$6)-1+AL7,COLUMN(AN$6)),":",ADDRESS(ROW(AN$6)+AL7,COLUMN(AN$6)))</f>
        <v>$AN$7:$AN$8</v>
      </c>
      <c r="AQ7" s="48" t="str">
        <f t="shared" ref="AQ7:AQ18" si="23">CONCATENATE(ADDRESS(ROW(AO$6)-1+AL7,COLUMN(AO$6)),":",ADDRESS(ROW(AO$6)+AL7,COLUMN(AO$6)))</f>
        <v>$AO$7:$AO$8</v>
      </c>
      <c r="AR7" s="50">
        <f t="shared" ca="1" si="8"/>
        <v>609.99279377079426</v>
      </c>
      <c r="AS7" s="47"/>
      <c r="AT7" s="54">
        <f t="shared" ref="AT7:AT18" si="24">6.54+14.526*LN(AU7/1000)+0.7389*LN(AU7/1000)^2+0.09486*LN(AU7/1000)^3+0.4569*(AU7/1000)^0.1984</f>
        <v>-0.89194278866846377</v>
      </c>
      <c r="AU7" s="50">
        <v>574.45897052027715</v>
      </c>
      <c r="AV7" s="55">
        <v>0</v>
      </c>
      <c r="AW7" s="55">
        <f t="array" ref="AW7">SUM(IF(ISNUMBER(AX$6:AX7),1,0))+IF($A7&gt;Capas_AT1_C1,1,0)</f>
        <v>1</v>
      </c>
      <c r="AX7" s="50" t="e">
        <f t="shared" ref="AX7:AX18" si="25">IF(AV7=1,$L7,IF($B7="Superficie interior",Pi_HR_4_H1_C1,NA()))</f>
        <v>#N/A</v>
      </c>
      <c r="AY7" s="51">
        <f t="shared" ref="AY7:AY18" si="26">VLOOKUP($A8,AW$6:AX$18,2,FALSE)</f>
        <v>634.27031715371572</v>
      </c>
      <c r="AZ7" s="51">
        <f t="shared" si="9"/>
        <v>4.9532340000000001</v>
      </c>
      <c r="BA7" s="48" t="str">
        <f t="shared" ref="BA7:BA18" si="27">CONCATENATE(ADDRESS(ROW(AY$6)-1+AW7,COLUMN(AY$6)),":",ADDRESS(ROW(AY$6)+AW7,COLUMN(AY$6)))</f>
        <v>$AY$6:$AY$7</v>
      </c>
      <c r="BB7" s="48" t="str">
        <f t="shared" ref="BB7:BB18" si="28">CONCATENATE(ADDRESS(ROW(AZ$6)-1+AW7,COLUMN(AZ$6)),":",ADDRESS(ROW(AZ$6)+AW7,COLUMN(AZ$6)))</f>
        <v>$AZ$6:$AZ$7</v>
      </c>
      <c r="BC7" s="50">
        <f t="shared" ca="1" si="10"/>
        <v>573.4738541043256</v>
      </c>
      <c r="BD7" s="47"/>
      <c r="BF7" s="43">
        <v>1</v>
      </c>
      <c r="BG7" s="15" t="str">
        <f t="shared" ref="BG7:BG18" si="29">CHOOSE(IF(BF7&lt;Capas_AT1_C2,1,IF(BF7=Capas_AT1_C2,2,IF(BF7=Capas_AT1_C2+1,3,4))),"Interfase "&amp;BF7,"Superficie interior","Interior",NA())</f>
        <v>Interfase 1</v>
      </c>
      <c r="BH7" s="56">
        <f t="array" ref="BH7:BH18">VLOOKUP(Seccion1!lista_Materiales_C2,Materiales[],7,FALSE)</f>
        <v>6.0000000000000001E-3</v>
      </c>
      <c r="BI7" s="325">
        <f>IF(BG7="Interior",$BN$23,IFERROR(IF(VLOOKUP(Seccion1!I24,Materiales[],3,FALSE)=Aux!$AP$10,IF(LEFT(VLOOKUP(Seccion1!I24,Materiales[],5,FALSE),1)="C",HLOOKUP(RIGHT(VLOOKUP(Seccion1!I24,Materiales[],5,FALSE),4),IF($BM$22=Aux!$AK$11,Aire_horizontal[#All],IF($BM$22=Aux!$AK$12,Aire_ascendente[#All],Aire_descendente[#All])),MATCH(ROUND(VLOOKUP(Seccion1!I24,Materiales[],7,FALSE)*1000,0),IF($BM$22=Aux!$AK$11,Aire_horizontal[Espesor],IF($BM$22=Aux!$AK$12,Aire_ascendente[Espesor],Aire_descendente[Espesor])),1)+1,FALSE),IF(VLOOKUP(Seccion1!I24,Materiales[],5,FALSE)=Aux!$AQ$29,IF(MID(VLOOKUP(Seccion1!I24,Materiales[],8,FALSE),1,2)="R=",VALUE(RIGHT(VLOOKUP(Seccion1!I24,Materiales[],8,FALSE),LEN(VLOOKUP(Seccion1!I24,Materiales[],8,FALSE))-2)),NA()),VLOOKUP(VLOOKUP(Seccion1!I24,Materiales[],5,FALSE),Aux!$AQ$26:$AR$29,2,FALSE))),BH7/VLOOKUP(Seccion1!I24,Materiales[],8,FALSE)),NA()))</f>
        <v>2.7272727272727275E-2</v>
      </c>
      <c r="BJ7" s="55" t="str">
        <f t="array" ref="BJ7:BJ18">CHOOSE(MATCH(LEFT(VLOOKUP(Seccion1!lista_Materiales_C2,Materiales[],9,FALSE),2),Aux!$AU$17:$AU$22,0),IF(RIGHT(VLOOKUP(Seccion1!lista_Materiales_C2,Materiales[],9,FALSE),LEN(VLOOKUP(Seccion1!lista_Materiales_C2,Materiales[],9,FALSE))-4)="inf",Aux!$AM$6,RIGHT(VLOOKUP(Seccion1!lista_Materiales_C2,Materiales[],9,FALSE),LEN(VLOOKUP(Seccion1!lista_Materiales_C2,Materiales[],9,FALSE))-4)),"Sd",IFERROR(δ_0/VALUE(MID(VLOOKUP(Seccion1!lista_Materiales_C2,Materiales[],9,FALSE),5,LEN(VLOOKUP(Seccion1!lista_Materiales_C2,Materiales[],9,FALSE))-12)),NA()),IFERROR(δ_0/(d_AT1_C2*VALUE(MID(VLOOKUP(Seccion1!lista_Materiales_C2,Materiales[],9,FALSE),5,LEN(VLOOKUP(Seccion1!lista_Materiales_C2,Materiales[],9,FALSE))-13))),NA()),IFERROR((δ_0*VALUE(MID(VLOOKUP(Seccion1!lista_Materiales_C2,Materiales[],9,FALSE),5,LEN(VLOOKUP(Seccion1!lista_Materiales_C2,Materiales[],9,FALSE))-13)))/d_AT1_C2,NA()),"resistencia MN","permeabilidad mmHg")</f>
        <v>139,189</v>
      </c>
      <c r="BK7" s="51" t="b">
        <f t="array" ref="BK7:BK18">IF(VLOOKUP(Seccion1!lista_Materiales_C2,Materiales[],3,FALSE)=Aux!$AP$10,IF(LEFT(VLOOKUP(Seccion1!lista_Materiales_C2,Materiales[],5,FALSE),1)="C",TRUE,FALSE),FALSE)</f>
        <v>0</v>
      </c>
      <c r="BL7" s="56">
        <f>IF(OR(BH7="",BH7="Interior"),NA(),SUM($BH$7:$BH7))</f>
        <v>6.0000000000000001E-3</v>
      </c>
      <c r="BM7" s="48">
        <f>IF(BG7="",NA(),SUM($BI$6:$BI7))</f>
        <v>6.7272727272727276E-2</v>
      </c>
      <c r="BN7" s="50">
        <f t="array" ref="BN7:BN18">IF(μ_H1_C2="Sd",VALUE(MID(VLOOKUP(Seccion1!lista_Materiales_C2,Materiales[],9,FALSE),5,LEN(VLOOKUP(Seccion1!lista_Materiales_C2,Materiales[],9,FALSE))-6)),IF(verif_aire_H1_C2,0.01,IF(d_AT1_C2*μ_H1_C2&gt;0,d_AT1_C2*μ_H1_C2,NA())))</f>
        <v>0.83513399999999993</v>
      </c>
      <c r="BO7" s="52">
        <f>IF(BN7="",NA(),SUM($BN$6:$BN7))</f>
        <v>0.83513399999999993</v>
      </c>
      <c r="BP7" s="53">
        <v>-1.5394332164142599E-2</v>
      </c>
      <c r="BQ7" s="52">
        <v>609.72610893781007</v>
      </c>
      <c r="BR7" s="54">
        <f t="shared" ref="BR7:BR18" si="30">6.54+14.526*LN(BS7/1000)+0.7389*LN(BS7/1000)^2+0.09486*LN(BS7/1000)^3+0.4569*(BS7/1000)^0.1984</f>
        <v>-0.66588883334175086</v>
      </c>
      <c r="BS7" s="50">
        <v>583.88790331160374</v>
      </c>
      <c r="BT7" s="55">
        <v>0</v>
      </c>
      <c r="BU7" s="55">
        <f t="array" ref="BU7">SUM(IF(ISNUMBER(BV$6:BV7),1,0))+IF($BF7&gt;Capas_AT1_C2,1,0)</f>
        <v>1</v>
      </c>
      <c r="BV7" s="51" t="e">
        <f t="shared" ref="BV7:BV18" si="31">IF(BT7=1,$BQ7,IF($BG7="Superficie interior",Pi_HR_1_H1_C2,NA()))</f>
        <v>#N/A</v>
      </c>
      <c r="BW7" s="51">
        <f t="shared" ref="BW7:BW18" si="32">VLOOKUP($BF8,BU$6:BV$18,2,FALSE)</f>
        <v>1427.4983081009464</v>
      </c>
      <c r="BX7" s="51">
        <f t="shared" ref="BX7:BX18" si="33">INDEX($BO$6:$BO$18,MATCH(BW7,BV$6:BV$18,0))</f>
        <v>31.812474000000002</v>
      </c>
      <c r="BY7" s="48" t="str">
        <f t="shared" ref="BY7:BY18" si="34">CONCATENATE(ADDRESS(ROW(BW$6)-1+BU7,COLUMN(BW$6)),":",ADDRESS(ROW(BW$6)+BU7,COLUMN(BW$6)))</f>
        <v>$BW$6:$BW$7</v>
      </c>
      <c r="BZ7" s="48" t="str">
        <f t="shared" ref="BZ7:BZ18" si="35">CONCATENATE(ADDRESS(ROW(BX$6)-1+BU7,COLUMN(BX$6)),":",ADDRESS(ROW(BX$6)+BU7,COLUMN(BX$6)))</f>
        <v>$BX$6:$BX$7</v>
      </c>
      <c r="CA7" s="50">
        <f t="shared" ref="CA7:CA18" ca="1" si="36">IF(ISNA(BV7),
_xlfn.FORECAST.LINEAR($BO7,INDIRECT(BY7),INDIRECT(BZ7)),BV7)</f>
        <v>583.88790331160362</v>
      </c>
      <c r="CB7" s="47"/>
      <c r="CC7" s="54">
        <f t="shared" ref="CC7:CC18" si="37">6.54+14.526*LN(CD7/1000)+0.7389*LN(CD7/1000)^2+0.09486*LN(CD7/1000)^3+0.4569*(CD7/1000)^0.1984</f>
        <v>-0.52930826853698199</v>
      </c>
      <c r="CD7" s="50">
        <v>589.65319076571848</v>
      </c>
      <c r="CE7" s="55">
        <v>0</v>
      </c>
      <c r="CF7" s="55">
        <f t="array" ref="CF7">SUM(IF(ISNUMBER(CG$6:CG7),1,0))+IF($BF7&gt;Capas_AT1_C2,1,0)</f>
        <v>1</v>
      </c>
      <c r="CG7" s="51" t="e">
        <f t="shared" ref="CG7:CG18" si="38">IF(CE7=1,$BQ7,IF($BG7="Superficie interior",Pi_HR_2_H1_C2,NA()))</f>
        <v>#N/A</v>
      </c>
      <c r="CH7" s="51">
        <f t="shared" ref="CH7:CH18" si="39">VLOOKUP($BF8,CF$6:CG$18,2,FALSE)</f>
        <v>1647.1134324241689</v>
      </c>
      <c r="CI7" s="51">
        <f t="shared" ref="CI7:CI18" si="40">INDEX($BO$6:$BO$18,MATCH(CH7,CG$6:CG$18,0))</f>
        <v>31.812474000000002</v>
      </c>
      <c r="CJ7" s="48" t="str">
        <f t="shared" ref="CJ7:CJ18" si="41">CONCATENATE(ADDRESS(ROW(CH$6)-1+CF7,COLUMN(CH$6)),":",ADDRESS(ROW(CH$6)+CF7,COLUMN(CH$6)))</f>
        <v>$CH$6:$CH$7</v>
      </c>
      <c r="CK7" s="48" t="str">
        <f t="shared" ref="CK7:CK18" si="42">CONCATENATE(ADDRESS(ROW(CI$6)-1+CF7,COLUMN(CI$6)),":",ADDRESS(ROW(CI$6)+CF7,COLUMN(CI$6)))</f>
        <v>$CI$6:$CI$7</v>
      </c>
      <c r="CL7" s="50">
        <f t="shared" ref="CL7:CL18" ca="1" si="43">IF(ISNA(CG7),
_xlfn.FORECAST.LINEAR($BO7,INDIRECT(CJ7),INDIRECT(CK7)),CG7)</f>
        <v>589.65319076571848</v>
      </c>
      <c r="CM7" s="47"/>
      <c r="CN7" s="54">
        <f t="shared" ref="CN7:CN18" si="44">6.54+14.526*LN(CO7/1000)+0.7389*LN(CO7/1000)^2+0.09486*LN(CO7/1000)^3+0.4569*(CO7/1000)^0.1984</f>
        <v>-0.46147520512806794</v>
      </c>
      <c r="CO7" s="50">
        <v>592.53583449277585</v>
      </c>
      <c r="CP7" s="55">
        <v>0</v>
      </c>
      <c r="CQ7" s="55">
        <f t="array" ref="CQ7">SUM(IF(ISNUMBER(CR$6:CR7),1,0))+IF($BF7&gt;Capas_AT1_C2,1,0)</f>
        <v>1</v>
      </c>
      <c r="CR7" s="51" t="e">
        <f t="shared" ref="CR7:CR18" si="45">IF(CP7=1,$BQ7,IF($BG7="Superficie interior",Pi_HR_3_H1_C2,NA()))</f>
        <v>#N/A</v>
      </c>
      <c r="CS7" s="51">
        <f t="shared" ref="CS7:CS18" si="46">VLOOKUP($BF8,CQ$6:CR$18,2,FALSE)</f>
        <v>1756.9209945857801</v>
      </c>
      <c r="CT7" s="51">
        <f t="shared" ref="CT7:CT18" si="47">INDEX($BO$6:$BO$18,MATCH(CS7,CR$6:CR$18,0))</f>
        <v>31.812474000000002</v>
      </c>
      <c r="CU7" s="48" t="str">
        <f t="shared" ref="CU7:CU18" si="48">CONCATENATE(ADDRESS(ROW(CS$6)-1+CQ7,COLUMN(CS$6)),":",ADDRESS(ROW(CS$6)+CQ7,COLUMN(CS$6)))</f>
        <v>$CS$6:$CS$7</v>
      </c>
      <c r="CV7" s="48" t="str">
        <f t="shared" ref="CV7:CV18" si="49">CONCATENATE(ADDRESS(ROW(CT$6)-1+CQ7,COLUMN(CT$6)),":",ADDRESS(ROW(CT$6)+CQ7,COLUMN(CT$6)))</f>
        <v>$CT$6:$CT$7</v>
      </c>
      <c r="CW7" s="50">
        <f t="shared" ref="CW7:CW18" ca="1" si="50">IF(ISNA(CR7),
_xlfn.FORECAST.LINEAR($BO7,INDIRECT(CU7),INDIRECT(CV7)),CR7)</f>
        <v>592.53583449277573</v>
      </c>
      <c r="CX7" s="47"/>
      <c r="CY7" s="54">
        <f t="shared" ref="CY7:CY18" si="51">6.54+14.526*LN(CZ7/1000)+0.7389*LN(CZ7/1000)^2+0.09486*LN(CZ7/1000)^3+0.4569*(CZ7/1000)^0.1984</f>
        <v>-0.3132978623088421</v>
      </c>
      <c r="CZ7" s="50">
        <v>598.87765069230204</v>
      </c>
      <c r="DA7" s="55">
        <v>0</v>
      </c>
      <c r="DB7" s="55">
        <f t="array" ref="DB7">SUM(IF(ISNUMBER(DC$6:DC7),1,0))+IF($BF7&gt;Capas_AT1_C2,1,0)</f>
        <v>1</v>
      </c>
      <c r="DC7" s="51" t="e">
        <f t="shared" ref="DC7:DC18" si="52">IF(DA7=1,$BQ7,IF($BG7="Superficie interior",Pi_HR_4_H1_C2,NA()))</f>
        <v>#N/A</v>
      </c>
      <c r="DD7" s="51">
        <f t="shared" ref="DD7:DD18" si="53">VLOOKUP($BF8,DB$6:DC$18,2,FALSE)</f>
        <v>1977.8329119332379</v>
      </c>
      <c r="DE7" s="51">
        <f t="shared" ref="DE7:DE18" si="54">INDEX($BO$6:$BO$18,MATCH(DD7,DC$6:DC$18,0))</f>
        <v>31.612474000000002</v>
      </c>
      <c r="DF7" s="48" t="str">
        <f t="shared" ref="DF7:DF18" si="55">CONCATENATE(ADDRESS(ROW(DD$6)-1+DB7,COLUMN(DD$6)),":",ADDRESS(ROW(DD$6)+DB7,COLUMN(DD$6)))</f>
        <v>$DD$6:$DD$7</v>
      </c>
      <c r="DG7" s="48" t="str">
        <f t="shared" ref="DG7:DG18" si="56">CONCATENATE(ADDRESS(ROW(DE$6)-1+DB7,COLUMN(DE$6)),":",ADDRESS(ROW(DE$6)+DB7,COLUMN(DE$6)))</f>
        <v>$DE$6:$DE$7</v>
      </c>
      <c r="DH7" s="50">
        <f t="shared" ref="DH7:DH18" ca="1" si="57">IF(ISNA(DC7),
_xlfn.FORECAST.LINEAR($BO7,INDIRECT(DF7),INDIRECT(DG7)),DC7)</f>
        <v>598.57045565374165</v>
      </c>
      <c r="DI7" s="47"/>
    </row>
    <row r="8" spans="1:113" x14ac:dyDescent="0.25">
      <c r="A8" s="43">
        <v>2</v>
      </c>
      <c r="B8" s="15" t="str">
        <f t="shared" si="11"/>
        <v>Interfase 2</v>
      </c>
      <c r="C8" s="56">
        <v>1.11E-2</v>
      </c>
      <c r="D8" s="325">
        <f>IF(B8="Interior",Rsi_H1,IFERROR(IF(VLOOKUP(Seccion1!$B25,Materiales[],3,FALSE)=Aux!$AP$10,IF(LEFT(VLOOKUP(Seccion1!$B25,Materiales[],5,FALSE),1)="C",HLOOKUP(RIGHT(VLOOKUP(Seccion1!$B25,Materiales[],5,FALSE),4),IF($H$22=Aux!$AK$11,Aire_horizontal[#All],IF($H$22=Aux!$AK$12,Aire_ascendente[#All],Aire_descendente[#All])),MATCH(ROUND(VLOOKUP(Seccion1!$B25,Materiales[],7,FALSE)*1000,0),IF($H$22=Aux!$AK$11,Aire_horizontal[Espesor],IF($H$22=Aux!$AK$12,Aire_ascendente[Espesor],Aire_descendente[Espesor])),1)+1,FALSE),IF(VLOOKUP(Seccion1!$B25,Materiales[],5,FALSE)=Aux!$AQ$29,IF(MID(VLOOKUP(Seccion1!$B25,Materiales[],8,FALSE),1,2)="R=",VALUE(RIGHT(VLOOKUP(Seccion1!$B25,Materiales[],8,FALSE),LEN(VLOOKUP(Seccion1!$B25,Materiales[],8,FALSE))-2)),NA()),VLOOKUP(VLOOKUP(Seccion1!$B25,Materiales[],5,FALSE),Aux!$AQ$26:$AR$29,2,FALSE))),C8/VLOOKUP(Seccion1!$B25,Materiales[],8,FALSE)),NA()))</f>
        <v>9.2500000000000013E-2</v>
      </c>
      <c r="E8" s="55" t="str">
        <v>371</v>
      </c>
      <c r="F8" s="51" t="b">
        <v>0</v>
      </c>
      <c r="G8" s="56">
        <f>IF(OR(B8="",B8="Interior"),NA(),SUM($C$7:$C8))</f>
        <v>1.7100000000000001E-2</v>
      </c>
      <c r="H8" s="48">
        <f>IF(B8="",NA(),SUM($D$6:$D8))</f>
        <v>0.15977272727272729</v>
      </c>
      <c r="I8" s="50">
        <v>4.1181000000000001</v>
      </c>
      <c r="J8" s="52">
        <f>IF(I8="",NA(),SUM($I$6:$I8))</f>
        <v>4.9532340000000001</v>
      </c>
      <c r="K8" s="53">
        <v>0.52604241947327013</v>
      </c>
      <c r="L8" s="47">
        <v>634.27031715371572</v>
      </c>
      <c r="M8" s="54">
        <f t="shared" si="12"/>
        <v>7.6307427851613534</v>
      </c>
      <c r="N8" s="51">
        <v>1044.2178315675478</v>
      </c>
      <c r="O8" s="55">
        <v>1</v>
      </c>
      <c r="P8" s="51">
        <f t="shared" ca="1" si="0"/>
        <v>634.27031715371572</v>
      </c>
      <c r="Q8" s="47"/>
      <c r="R8" s="55">
        <f t="array" ref="R8">SUM(IF(ISNUMBER(S$6:S8),1,0))+IF($A8&gt;Capas_AT1_C1,1,0)</f>
        <v>3</v>
      </c>
      <c r="S8" s="51">
        <f t="shared" si="13"/>
        <v>634.27031715371572</v>
      </c>
      <c r="T8" s="51">
        <f t="shared" si="1"/>
        <v>634.27031715371572</v>
      </c>
      <c r="U8" s="51">
        <f t="shared" si="2"/>
        <v>4.9532340000000001</v>
      </c>
      <c r="V8" s="48" t="str">
        <f t="shared" si="3"/>
        <v>$T$8:$T$9</v>
      </c>
      <c r="W8" s="48" t="str">
        <f t="shared" si="4"/>
        <v>$U$8:$U$9</v>
      </c>
      <c r="X8" s="54">
        <f t="shared" si="14"/>
        <v>9.2682787165814879</v>
      </c>
      <c r="Y8" s="50">
        <v>1166.6738088289835</v>
      </c>
      <c r="Z8" s="55">
        <v>1</v>
      </c>
      <c r="AA8" s="55">
        <f t="array" ref="AA8">SUM(IF(ISNUMBER(AB$6:AB8),1,0))+IF($A8&gt;Capas_AT1_C1,1,0)</f>
        <v>3</v>
      </c>
      <c r="AB8" s="51">
        <f t="shared" si="15"/>
        <v>634.27031715371572</v>
      </c>
      <c r="AC8" s="51">
        <f t="shared" si="16"/>
        <v>634.27031715371572</v>
      </c>
      <c r="AD8" s="51">
        <f t="shared" si="5"/>
        <v>4.9532340000000001</v>
      </c>
      <c r="AE8" s="48" t="str">
        <f t="shared" si="17"/>
        <v>$AC$8:$AC$9</v>
      </c>
      <c r="AF8" s="48" t="str">
        <f t="shared" si="18"/>
        <v>$AD$8:$AD$9</v>
      </c>
      <c r="AG8" s="50">
        <f t="shared" ca="1" si="6"/>
        <v>634.27031715371572</v>
      </c>
      <c r="AH8" s="47"/>
      <c r="AI8" s="54">
        <f t="shared" si="19"/>
        <v>10.030148704608713</v>
      </c>
      <c r="AJ8" s="50">
        <v>1227.9017974597014</v>
      </c>
      <c r="AK8" s="55">
        <v>1</v>
      </c>
      <c r="AL8" s="55">
        <f t="array" ref="AL8">SUM(IF(ISNUMBER(AM$6:AM8),1,0))+IF($A8&gt;Capas_AT1_C1,1,0)</f>
        <v>3</v>
      </c>
      <c r="AM8" s="51">
        <f t="shared" si="20"/>
        <v>634.27031715371572</v>
      </c>
      <c r="AN8" s="51">
        <f t="shared" si="21"/>
        <v>634.27031715371572</v>
      </c>
      <c r="AO8" s="51">
        <f t="shared" si="7"/>
        <v>4.9532340000000001</v>
      </c>
      <c r="AP8" s="48" t="str">
        <f t="shared" si="22"/>
        <v>$AN$8:$AN$9</v>
      </c>
      <c r="AQ8" s="48" t="str">
        <f t="shared" si="23"/>
        <v>$AO$8:$AO$9</v>
      </c>
      <c r="AR8" s="50">
        <f t="shared" ca="1" si="8"/>
        <v>634.27031715371572</v>
      </c>
      <c r="AS8" s="47"/>
      <c r="AT8" s="54">
        <f t="shared" si="24"/>
        <v>0.61662890436426832</v>
      </c>
      <c r="AU8" s="50">
        <v>640.1131066048099</v>
      </c>
      <c r="AV8" s="55">
        <v>1</v>
      </c>
      <c r="AW8" s="55">
        <f t="array" ref="AW8">SUM(IF(ISNUMBER(AX$6:AX8),1,0))+IF($A8&gt;Capas_AT1_C1,1,0)</f>
        <v>2</v>
      </c>
      <c r="AX8" s="50">
        <f t="shared" si="25"/>
        <v>634.27031715371572</v>
      </c>
      <c r="AY8" s="51">
        <f t="shared" si="26"/>
        <v>702.76839783431228</v>
      </c>
      <c r="AZ8" s="51">
        <f t="shared" si="9"/>
        <v>8.8832339999999981</v>
      </c>
      <c r="BA8" s="48" t="str">
        <f t="shared" si="27"/>
        <v>$AY$7:$AY$8</v>
      </c>
      <c r="BB8" s="48" t="str">
        <f t="shared" si="28"/>
        <v>$AZ$7:$AZ$8</v>
      </c>
      <c r="BC8" s="50">
        <f t="shared" ca="1" si="10"/>
        <v>634.27031715371572</v>
      </c>
      <c r="BD8" s="47"/>
      <c r="BF8" s="43">
        <v>2</v>
      </c>
      <c r="BG8" s="15" t="str">
        <f t="shared" si="29"/>
        <v>Interfase 2</v>
      </c>
      <c r="BH8" s="56">
        <v>3.6999999999999999E-4</v>
      </c>
      <c r="BI8" s="325">
        <f>IF(BG8="Interior",$BN$23,IFERROR(IF(VLOOKUP(Seccion1!I25,Materiales[],3,FALSE)=Aux!$AP$10,IF(LEFT(VLOOKUP(Seccion1!I25,Materiales[],5,FALSE),1)="C",HLOOKUP(RIGHT(VLOOKUP(Seccion1!I25,Materiales[],5,FALSE),4),IF($BM$22=Aux!$AK$11,Aire_horizontal[#All],IF($BM$22=Aux!$AK$12,Aire_ascendente[#All],Aire_descendente[#All])),MATCH(ROUND(VLOOKUP(Seccion1!I25,Materiales[],7,FALSE)*1000,0),IF($BM$22=Aux!$AK$11,Aire_horizontal[Espesor],IF($BM$22=Aux!$AK$12,Aire_ascendente[Espesor],Aire_descendente[Espesor])),1)+1,FALSE),IF(VLOOKUP(Seccion1!I25,Materiales[],5,FALSE)=Aux!$AQ$29,IF(MID(VLOOKUP(Seccion1!I25,Materiales[],8,FALSE),1,2)="R=",VALUE(RIGHT(VLOOKUP(Seccion1!I25,Materiales[],8,FALSE),LEN(VLOOKUP(Seccion1!I25,Materiales[],8,FALSE))-2)),NA()),VLOOKUP(VLOOKUP(Seccion1!I25,Materiales[],5,FALSE),Aux!$AQ$26:$AR$29,2,FALSE))),BH8/VLOOKUP(Seccion1!I25,Materiales[],8,FALSE)),NA()))</f>
        <v>1.9473684210526314E-3</v>
      </c>
      <c r="BJ8" s="55" t="str">
        <v>294</v>
      </c>
      <c r="BK8" s="51" t="b">
        <v>0</v>
      </c>
      <c r="BL8" s="56">
        <f>IF(OR(BH8="",BH8="Interior"),NA(),SUM($BH$7:$BH8))</f>
        <v>6.3699999999999998E-3</v>
      </c>
      <c r="BM8" s="48">
        <f>IF(BG8="",NA(),SUM($BI$6:$BI8))</f>
        <v>6.9220095693779904E-2</v>
      </c>
      <c r="BN8" s="50">
        <v>0.10878</v>
      </c>
      <c r="BO8" s="52">
        <f>IF(BN8="",NA(),SUM($BN$6:$BN8))</f>
        <v>0.94391399999999992</v>
      </c>
      <c r="BP8" s="53">
        <v>-4.2610102004730921E-3</v>
      </c>
      <c r="BQ8" s="52">
        <v>610.28570476457605</v>
      </c>
      <c r="BR8" s="54">
        <f t="shared" si="30"/>
        <v>-0.59555535314402075</v>
      </c>
      <c r="BS8" s="50">
        <v>586.85032486984551</v>
      </c>
      <c r="BT8" s="55">
        <v>0</v>
      </c>
      <c r="BU8" s="55">
        <f t="array" ref="BU8">SUM(IF(ISNUMBER(BV$6:BV8),1,0))+IF($BF8&gt;Capas_AT1_C2,1,0)</f>
        <v>1</v>
      </c>
      <c r="BV8" s="51" t="e">
        <f t="shared" si="31"/>
        <v>#N/A</v>
      </c>
      <c r="BW8" s="51" t="e">
        <f t="shared" si="32"/>
        <v>#N/A</v>
      </c>
      <c r="BX8" s="51" t="e">
        <f t="shared" si="33"/>
        <v>#N/A</v>
      </c>
      <c r="BY8" s="48" t="str">
        <f t="shared" si="34"/>
        <v>$BW$6:$BW$7</v>
      </c>
      <c r="BZ8" s="48" t="str">
        <f t="shared" si="35"/>
        <v>$BX$6:$BX$7</v>
      </c>
      <c r="CA8" s="50">
        <f t="shared" ca="1" si="36"/>
        <v>586.85032486984539</v>
      </c>
      <c r="CB8" s="47"/>
      <c r="CC8" s="54">
        <f t="shared" si="37"/>
        <v>-0.44198276912525941</v>
      </c>
      <c r="CD8" s="50">
        <v>593.36656722372311</v>
      </c>
      <c r="CE8" s="55">
        <v>0</v>
      </c>
      <c r="CF8" s="55">
        <f t="array" ref="CF8">SUM(IF(ISNUMBER(CG$6:CG8),1,0))+IF($BF8&gt;Capas_AT1_C2,1,0)</f>
        <v>1</v>
      </c>
      <c r="CG8" s="51" t="e">
        <f t="shared" si="38"/>
        <v>#N/A</v>
      </c>
      <c r="CH8" s="51" t="e">
        <f t="shared" si="39"/>
        <v>#N/A</v>
      </c>
      <c r="CI8" s="51" t="e">
        <f t="shared" si="40"/>
        <v>#N/A</v>
      </c>
      <c r="CJ8" s="48" t="str">
        <f t="shared" si="41"/>
        <v>$CH$6:$CH$7</v>
      </c>
      <c r="CK8" s="48" t="str">
        <f t="shared" si="42"/>
        <v>$CI$6:$CI$7</v>
      </c>
      <c r="CL8" s="50">
        <f t="shared" ca="1" si="43"/>
        <v>593.36656722372311</v>
      </c>
      <c r="CM8" s="47"/>
      <c r="CN8" s="54">
        <f t="shared" si="44"/>
        <v>-0.3657736830036758</v>
      </c>
      <c r="CO8" s="50">
        <v>596.62468840066197</v>
      </c>
      <c r="CP8" s="55">
        <v>0</v>
      </c>
      <c r="CQ8" s="55">
        <f t="array" ref="CQ8">SUM(IF(ISNUMBER(CR$6:CR8),1,0))+IF($BF8&gt;Capas_AT1_C2,1,0)</f>
        <v>1</v>
      </c>
      <c r="CR8" s="51" t="e">
        <f t="shared" si="45"/>
        <v>#N/A</v>
      </c>
      <c r="CS8" s="51" t="e">
        <f t="shared" si="46"/>
        <v>#N/A</v>
      </c>
      <c r="CT8" s="51" t="e">
        <f t="shared" si="47"/>
        <v>#N/A</v>
      </c>
      <c r="CU8" s="48" t="str">
        <f t="shared" si="48"/>
        <v>$CS$6:$CS$7</v>
      </c>
      <c r="CV8" s="48" t="str">
        <f t="shared" si="49"/>
        <v>$CT$6:$CT$7</v>
      </c>
      <c r="CW8" s="50">
        <f t="shared" ca="1" si="50"/>
        <v>596.62468840066185</v>
      </c>
      <c r="CX8" s="47"/>
      <c r="CY8" s="54">
        <f t="shared" si="51"/>
        <v>-0.19944336432190507</v>
      </c>
      <c r="CZ8" s="50">
        <v>603.79255498992734</v>
      </c>
      <c r="DA8" s="55">
        <v>0</v>
      </c>
      <c r="DB8" s="55">
        <f t="array" ref="DB8">SUM(IF(ISNUMBER(DC$6:DC8),1,0))+IF($BF8&gt;Capas_AT1_C2,1,0)</f>
        <v>1</v>
      </c>
      <c r="DC8" s="51" t="e">
        <f t="shared" si="52"/>
        <v>#N/A</v>
      </c>
      <c r="DD8" s="51">
        <f t="shared" si="53"/>
        <v>1998.4976313413263</v>
      </c>
      <c r="DE8" s="51">
        <f t="shared" si="54"/>
        <v>31.812474000000002</v>
      </c>
      <c r="DF8" s="48" t="str">
        <f t="shared" si="55"/>
        <v>$DD$6:$DD$7</v>
      </c>
      <c r="DG8" s="48" t="str">
        <f t="shared" si="56"/>
        <v>$DE$6:$DE$7</v>
      </c>
      <c r="DH8" s="50">
        <f t="shared" ca="1" si="57"/>
        <v>603.44534640109293</v>
      </c>
      <c r="DI8" s="47"/>
    </row>
    <row r="9" spans="1:113" x14ac:dyDescent="0.25">
      <c r="A9" s="43">
        <v>3</v>
      </c>
      <c r="B9" s="15" t="str">
        <f t="shared" si="11"/>
        <v>Interfase 3</v>
      </c>
      <c r="C9" s="56">
        <v>5.0000000000000001E-3</v>
      </c>
      <c r="D9" s="325">
        <f>IF(B9="Interior",Rsi_H1,IFERROR(IF(VLOOKUP(Seccion1!$B26,Materiales[],3,FALSE)=Aux!$AP$10,IF(LEFT(VLOOKUP(Seccion1!$B26,Materiales[],5,FALSE),1)="C",HLOOKUP(RIGHT(VLOOKUP(Seccion1!$B26,Materiales[],5,FALSE),4),IF($H$22=Aux!$AK$11,Aire_horizontal[#All],IF($H$22=Aux!$AK$12,Aire_ascendente[#All],Aire_descendente[#All])),MATCH(ROUND(VLOOKUP(Seccion1!$B26,Materiales[],7,FALSE)*1000,0),IF($H$22=Aux!$AK$11,Aire_horizontal[Espesor],IF($H$22=Aux!$AK$12,Aire_ascendente[Espesor],Aire_descendente[Espesor])),1)+1,FALSE),IF(VLOOKUP(Seccion1!$B26,Materiales[],5,FALSE)=Aux!$AQ$29,IF(MID(VLOOKUP(Seccion1!$B26,Materiales[],8,FALSE),1,2)="R=",VALUE(RIGHT(VLOOKUP(Seccion1!$B26,Materiales[],8,FALSE),LEN(VLOOKUP(Seccion1!$B26,Materiales[],8,FALSE))-2)),NA()),VLOOKUP(VLOOKUP(Seccion1!$B26,Materiales[],5,FALSE),Aux!$AQ$26:$AR$29,2,FALSE))),C9/VLOOKUP(Seccion1!$B26,Materiales[],8,FALSE)),NA()))</f>
        <v>0.105</v>
      </c>
      <c r="E9" s="55" t="str">
        <v>1</v>
      </c>
      <c r="F9" s="51" t="b">
        <v>1</v>
      </c>
      <c r="G9" s="56">
        <f>IF(OR(B9="",B9="Interior"),NA(),SUM($C$7:$C9))</f>
        <v>2.2100000000000002E-2</v>
      </c>
      <c r="H9" s="48">
        <f>IF(B9="",NA(),SUM($D$6:$D9))</f>
        <v>0.26477272727272727</v>
      </c>
      <c r="I9" s="50">
        <v>0.01</v>
      </c>
      <c r="J9" s="52">
        <f>IF(I9="",NA(),SUM($I$6:$I9))</f>
        <v>4.9632339999999999</v>
      </c>
      <c r="K9" s="53">
        <v>1.1346222171925455</v>
      </c>
      <c r="L9" s="47">
        <v>662.78793357158236</v>
      </c>
      <c r="M9" s="54">
        <f t="shared" si="12"/>
        <v>7.644449510632997</v>
      </c>
      <c r="N9" s="51">
        <v>1045.1930999556735</v>
      </c>
      <c r="O9" s="55">
        <v>1</v>
      </c>
      <c r="P9" s="51">
        <f t="shared" ca="1" si="0"/>
        <v>662.78793357158236</v>
      </c>
      <c r="Q9" s="47"/>
      <c r="R9" s="55">
        <f t="array" ref="R9">SUM(IF(ISNUMBER(S$6:S9),1,0))+IF($A9&gt;Capas_AT1_C1,1,0)</f>
        <v>4</v>
      </c>
      <c r="S9" s="51">
        <f t="shared" si="13"/>
        <v>662.78793357158236</v>
      </c>
      <c r="T9" s="51">
        <f t="shared" si="1"/>
        <v>662.78793357158236</v>
      </c>
      <c r="U9" s="51">
        <f t="shared" si="2"/>
        <v>4.9632339999999999</v>
      </c>
      <c r="V9" s="48" t="str">
        <f t="shared" si="3"/>
        <v>$T$9:$T$10</v>
      </c>
      <c r="W9" s="48" t="str">
        <f t="shared" si="4"/>
        <v>$U$9:$U$10</v>
      </c>
      <c r="X9" s="54">
        <f t="shared" si="14"/>
        <v>9.2838361598934878</v>
      </c>
      <c r="Y9" s="50">
        <v>1167.8963015098875</v>
      </c>
      <c r="Z9" s="55">
        <v>1</v>
      </c>
      <c r="AA9" s="55">
        <f t="array" ref="AA9">SUM(IF(ISNUMBER(AB$6:AB9),1,0))+IF($A9&gt;Capas_AT1_C1,1,0)</f>
        <v>4</v>
      </c>
      <c r="AB9" s="51">
        <f t="shared" si="15"/>
        <v>662.78793357158236</v>
      </c>
      <c r="AC9" s="51">
        <f t="shared" si="16"/>
        <v>662.78793357158236</v>
      </c>
      <c r="AD9" s="51">
        <f t="shared" si="5"/>
        <v>4.9632339999999999</v>
      </c>
      <c r="AE9" s="48" t="str">
        <f t="shared" si="17"/>
        <v>$AC$9:$AC$10</v>
      </c>
      <c r="AF9" s="48" t="str">
        <f t="shared" si="18"/>
        <v>$AD$9:$AD$10</v>
      </c>
      <c r="AG9" s="50">
        <f t="shared" ca="1" si="6"/>
        <v>662.78793357158236</v>
      </c>
      <c r="AH9" s="47"/>
      <c r="AI9" s="54">
        <f t="shared" si="19"/>
        <v>10.046514305045381</v>
      </c>
      <c r="AJ9" s="50">
        <v>1229.2479022869943</v>
      </c>
      <c r="AK9" s="55">
        <v>1</v>
      </c>
      <c r="AL9" s="55">
        <f t="array" ref="AL9">SUM(IF(ISNUMBER(AM$6:AM9),1,0))+IF($A9&gt;Capas_AT1_C1,1,0)</f>
        <v>4</v>
      </c>
      <c r="AM9" s="51">
        <f t="shared" si="20"/>
        <v>662.78793357158236</v>
      </c>
      <c r="AN9" s="51">
        <f t="shared" si="21"/>
        <v>662.78793357158236</v>
      </c>
      <c r="AO9" s="51">
        <f t="shared" si="7"/>
        <v>4.9632339999999999</v>
      </c>
      <c r="AP9" s="48" t="str">
        <f t="shared" si="22"/>
        <v>$AN$9:$AN$10</v>
      </c>
      <c r="AQ9" s="48" t="str">
        <f t="shared" si="23"/>
        <v>$AO$9:$AO$10</v>
      </c>
      <c r="AR9" s="50">
        <f t="shared" ca="1" si="8"/>
        <v>662.78793357158236</v>
      </c>
      <c r="AS9" s="47"/>
      <c r="AT9" s="54">
        <f t="shared" si="24"/>
        <v>0.62011696470144018</v>
      </c>
      <c r="AU9" s="50">
        <v>640.27253482676792</v>
      </c>
      <c r="AV9" s="55">
        <v>0</v>
      </c>
      <c r="AW9" s="55">
        <f t="array" ref="AW9">SUM(IF(ISNUMBER(AX$6:AX9),1,0))+IF($A9&gt;Capas_AT1_C1,1,0)</f>
        <v>2</v>
      </c>
      <c r="AX9" s="50" t="e">
        <f t="shared" si="25"/>
        <v>#N/A</v>
      </c>
      <c r="AY9" s="51" t="e">
        <f t="shared" si="26"/>
        <v>#N/A</v>
      </c>
      <c r="AZ9" s="51" t="e">
        <f t="shared" si="9"/>
        <v>#N/A</v>
      </c>
      <c r="BA9" s="48" t="str">
        <f t="shared" si="27"/>
        <v>$AY$7:$AY$8</v>
      </c>
      <c r="BB9" s="48" t="str">
        <f t="shared" si="28"/>
        <v>$AZ$7:$AZ$8</v>
      </c>
      <c r="BC9" s="50">
        <f t="shared" ca="1" si="10"/>
        <v>634.44461252440431</v>
      </c>
      <c r="BD9" s="47"/>
      <c r="BF9" s="43">
        <v>3</v>
      </c>
      <c r="BG9" s="15" t="str">
        <f t="shared" si="29"/>
        <v>Interfase 3</v>
      </c>
      <c r="BH9" s="56">
        <v>5.0000000000000001E-3</v>
      </c>
      <c r="BI9" s="325">
        <f>IF(BG9="Interior",$BN$23,IFERROR(IF(VLOOKUP(Seccion1!I26,Materiales[],3,FALSE)=Aux!$AP$10,IF(LEFT(VLOOKUP(Seccion1!I26,Materiales[],5,FALSE),1)="C",HLOOKUP(RIGHT(VLOOKUP(Seccion1!I26,Materiales[],5,FALSE),4),IF($BM$22=Aux!$AK$11,Aire_horizontal[#All],IF($BM$22=Aux!$AK$12,Aire_ascendente[#All],Aire_descendente[#All])),MATCH(ROUND(VLOOKUP(Seccion1!I26,Materiales[],7,FALSE)*1000,0),IF($BM$22=Aux!$AK$11,Aire_horizontal[Espesor],IF($BM$22=Aux!$AK$12,Aire_ascendente[Espesor],Aire_descendente[Espesor])),1)+1,FALSE),IF(VLOOKUP(Seccion1!I26,Materiales[],5,FALSE)=Aux!$AQ$29,IF(MID(VLOOKUP(Seccion1!I26,Materiales[],8,FALSE),1,2)="R=",VALUE(RIGHT(VLOOKUP(Seccion1!I26,Materiales[],8,FALSE),LEN(VLOOKUP(Seccion1!I26,Materiales[],8,FALSE))-2)),NA()),VLOOKUP(VLOOKUP(Seccion1!I26,Materiales[],5,FALSE),Aux!$AQ$26:$AR$29,2,FALSE))),BH9/VLOOKUP(Seccion1!I26,Materiales[],8,FALSE)),NA()))</f>
        <v>0.105</v>
      </c>
      <c r="BJ9" s="55" t="str">
        <v>1</v>
      </c>
      <c r="BK9" s="51" t="b">
        <v>1</v>
      </c>
      <c r="BL9" s="56">
        <f>IF(OR(BH9="",BH9="Interior"),NA(),SUM($BH$7:$BH9))</f>
        <v>1.137E-2</v>
      </c>
      <c r="BM9" s="48">
        <f>IF(BG9="",NA(),SUM($BI$6:$BI9))</f>
        <v>0.17422009569377989</v>
      </c>
      <c r="BN9" s="50">
        <v>0.01</v>
      </c>
      <c r="BO9" s="52">
        <f>IF(BN9="",NA(),SUM($BN$6:$BN9))</f>
        <v>0.95391399999999993</v>
      </c>
      <c r="BP9" s="53">
        <v>0.59603567405684477</v>
      </c>
      <c r="BQ9" s="52">
        <v>637.49398439631784</v>
      </c>
      <c r="BR9" s="54">
        <f t="shared" si="30"/>
        <v>-0.58910599460906332</v>
      </c>
      <c r="BS9" s="50">
        <v>587.12265632399533</v>
      </c>
      <c r="BT9" s="55">
        <v>0</v>
      </c>
      <c r="BU9" s="55">
        <f t="array" ref="BU9">SUM(IF(ISNUMBER(BV$6:BV9),1,0))+IF($BF9&gt;Capas_AT1_C2,1,0)</f>
        <v>1</v>
      </c>
      <c r="BV9" s="51" t="e">
        <f t="shared" si="31"/>
        <v>#N/A</v>
      </c>
      <c r="BW9" s="51" t="e">
        <f t="shared" si="32"/>
        <v>#N/A</v>
      </c>
      <c r="BX9" s="51" t="e">
        <f t="shared" si="33"/>
        <v>#N/A</v>
      </c>
      <c r="BY9" s="48" t="str">
        <f t="shared" si="34"/>
        <v>$BW$6:$BW$7</v>
      </c>
      <c r="BZ9" s="48" t="str">
        <f t="shared" si="35"/>
        <v>$BX$6:$BX$7</v>
      </c>
      <c r="CA9" s="50">
        <f t="shared" ca="1" si="36"/>
        <v>587.12265632399522</v>
      </c>
      <c r="CB9" s="47"/>
      <c r="CC9" s="54">
        <f t="shared" si="37"/>
        <v>-0.43398014268972612</v>
      </c>
      <c r="CD9" s="50">
        <v>593.7079329580497</v>
      </c>
      <c r="CE9" s="55">
        <v>0</v>
      </c>
      <c r="CF9" s="55">
        <f t="array" ref="CF9">SUM(IF(ISNUMBER(CG$6:CG9),1,0))+IF($BF9&gt;Capas_AT1_C2,1,0)</f>
        <v>1</v>
      </c>
      <c r="CG9" s="51" t="e">
        <f t="shared" si="38"/>
        <v>#N/A</v>
      </c>
      <c r="CH9" s="51" t="e">
        <f t="shared" si="39"/>
        <v>#N/A</v>
      </c>
      <c r="CI9" s="51" t="e">
        <f t="shared" si="40"/>
        <v>#N/A</v>
      </c>
      <c r="CJ9" s="48" t="str">
        <f t="shared" si="41"/>
        <v>$CH$6:$CH$7</v>
      </c>
      <c r="CK9" s="48" t="str">
        <f t="shared" si="42"/>
        <v>$CI$6:$CI$7</v>
      </c>
      <c r="CL9" s="50">
        <f t="shared" ca="1" si="43"/>
        <v>593.7079329580497</v>
      </c>
      <c r="CM9" s="47"/>
      <c r="CN9" s="54">
        <f t="shared" si="44"/>
        <v>-0.35700607786462851</v>
      </c>
      <c r="CO9" s="50">
        <v>597.00057127507694</v>
      </c>
      <c r="CP9" s="55">
        <v>0</v>
      </c>
      <c r="CQ9" s="55">
        <f t="array" ref="CQ9">SUM(IF(ISNUMBER(CR$6:CR9),1,0))+IF($BF9&gt;Capas_AT1_C2,1,0)</f>
        <v>1</v>
      </c>
      <c r="CR9" s="51" t="e">
        <f t="shared" si="45"/>
        <v>#N/A</v>
      </c>
      <c r="CS9" s="51" t="e">
        <f t="shared" si="46"/>
        <v>#N/A</v>
      </c>
      <c r="CT9" s="51" t="e">
        <f t="shared" si="47"/>
        <v>#N/A</v>
      </c>
      <c r="CU9" s="48" t="str">
        <f t="shared" si="48"/>
        <v>$CS$6:$CS$7</v>
      </c>
      <c r="CV9" s="48" t="str">
        <f t="shared" si="49"/>
        <v>$CT$6:$CT$7</v>
      </c>
      <c r="CW9" s="50">
        <f t="shared" ca="1" si="50"/>
        <v>597.00057127507682</v>
      </c>
      <c r="CX9" s="47"/>
      <c r="CY9" s="54">
        <f t="shared" si="51"/>
        <v>-0.18901940519474902</v>
      </c>
      <c r="CZ9" s="50">
        <v>604.2443755725368</v>
      </c>
      <c r="DA9" s="55">
        <v>0</v>
      </c>
      <c r="DB9" s="55">
        <f t="array" ref="DB9">SUM(IF(ISNUMBER(DC$6:DC9),1,0))+IF($BF9&gt;Capas_AT1_C2,1,0)</f>
        <v>1</v>
      </c>
      <c r="DC9" s="51" t="e">
        <f t="shared" si="52"/>
        <v>#N/A</v>
      </c>
      <c r="DD9" s="51" t="e">
        <f t="shared" si="53"/>
        <v>#N/A</v>
      </c>
      <c r="DE9" s="51" t="e">
        <f t="shared" si="54"/>
        <v>#N/A</v>
      </c>
      <c r="DF9" s="48" t="str">
        <f t="shared" si="55"/>
        <v>$DD$6:$DD$7</v>
      </c>
      <c r="DG9" s="48" t="str">
        <f t="shared" si="56"/>
        <v>$DE$6:$DE$7</v>
      </c>
      <c r="DH9" s="50">
        <f t="shared" ca="1" si="57"/>
        <v>603.89348859150948</v>
      </c>
      <c r="DI9" s="47"/>
    </row>
    <row r="10" spans="1:113" x14ac:dyDescent="0.25">
      <c r="A10" s="43">
        <v>4</v>
      </c>
      <c r="B10" s="15" t="str">
        <f t="shared" si="11"/>
        <v>Interfase 4</v>
      </c>
      <c r="C10" s="56">
        <v>0.12</v>
      </c>
      <c r="D10" s="325">
        <f>IF(B10="Interior",Rsi_H1,IFERROR(IF(VLOOKUP(Seccion1!$B27,Materiales[],3,FALSE)=Aux!$AP$10,IF(LEFT(VLOOKUP(Seccion1!$B27,Materiales[],5,FALSE),1)="C",HLOOKUP(RIGHT(VLOOKUP(Seccion1!$B27,Materiales[],5,FALSE),4),IF($H$22=Aux!$AK$11,Aire_horizontal[#All],IF($H$22=Aux!$AK$12,Aire_ascendente[#All],Aire_descendente[#All])),MATCH(ROUND(VLOOKUP(Seccion1!$B27,Materiales[],7,FALSE)*1000,0),IF($H$22=Aux!$AK$11,Aire_horizontal[Espesor],IF($H$22=Aux!$AK$12,Aire_ascendente[Espesor],Aire_descendente[Espesor])),1)+1,FALSE),IF(VLOOKUP(Seccion1!$B27,Materiales[],5,FALSE)=Aux!$AQ$29,IF(MID(VLOOKUP(Seccion1!$B27,Materiales[],8,FALSE),1,2)="R=",VALUE(RIGHT(VLOOKUP(Seccion1!$B27,Materiales[],8,FALSE),LEN(VLOOKUP(Seccion1!$B27,Materiales[],8,FALSE))-2)),NA()),VLOOKUP(VLOOKUP(Seccion1!$B27,Materiales[],5,FALSE),Aux!$AQ$26:$AR$29,2,FALSE))),C10/VLOOKUP(Seccion1!$B27,Materiales[],8,FALSE)),NA()))</f>
        <v>2.7906976744186047</v>
      </c>
      <c r="E10" s="55" t="str">
        <v>31</v>
      </c>
      <c r="F10" s="51" t="b">
        <v>0</v>
      </c>
      <c r="G10" s="56">
        <f>IF(OR(B10="",B10="Interior"),NA(),SUM($C$7:$C10))</f>
        <v>0.1421</v>
      </c>
      <c r="H10" s="48">
        <f>IF(B10="",NA(),SUM($D$6:$D10))</f>
        <v>3.0554704016913319</v>
      </c>
      <c r="I10" s="50">
        <v>3.7199999999999998</v>
      </c>
      <c r="J10" s="52">
        <f>IF(I10="",NA(),SUM($I$6:$I10))</f>
        <v>8.6832339999999988</v>
      </c>
      <c r="K10" s="53">
        <v>17.3095005618909</v>
      </c>
      <c r="L10" s="47">
        <v>1974.9585502607806</v>
      </c>
      <c r="M10" s="54">
        <f t="shared" si="12"/>
        <v>12.089594586781622</v>
      </c>
      <c r="N10" s="51">
        <v>1407.9929403384326</v>
      </c>
      <c r="O10" s="55">
        <v>0</v>
      </c>
      <c r="P10" s="51">
        <f t="shared" ca="1" si="0"/>
        <v>1388.4824726657748</v>
      </c>
      <c r="Q10" s="47"/>
      <c r="R10" s="55">
        <f t="array" ref="R10">SUM(IF(ISNUMBER(S$6:S10),1,0))+IF($A10&gt;Capas_AT1_C1,1,0)</f>
        <v>4</v>
      </c>
      <c r="S10" s="51" t="e">
        <f t="shared" si="13"/>
        <v>#N/A</v>
      </c>
      <c r="T10" s="51">
        <f t="shared" si="1"/>
        <v>1427.4983081009464</v>
      </c>
      <c r="U10" s="51">
        <f t="shared" si="2"/>
        <v>8.8832339999999981</v>
      </c>
      <c r="V10" s="48" t="str">
        <f t="shared" si="3"/>
        <v>$T$9:$T$10</v>
      </c>
      <c r="W10" s="48" t="str">
        <f t="shared" si="4"/>
        <v>$U$9:$U$10</v>
      </c>
      <c r="X10" s="54">
        <f t="shared" si="14"/>
        <v>14.258443549431414</v>
      </c>
      <c r="Y10" s="50">
        <v>1622.6635788060935</v>
      </c>
      <c r="Z10" s="55">
        <v>0</v>
      </c>
      <c r="AA10" s="55">
        <f t="array" ref="AA10">SUM(IF(ISNUMBER(AB$6:AB10),1,0))+IF($A10&gt;Capas_AT1_C1,1,0)</f>
        <v>4</v>
      </c>
      <c r="AB10" s="51" t="e">
        <f t="shared" si="15"/>
        <v>#N/A</v>
      </c>
      <c r="AC10" s="51">
        <f t="shared" si="16"/>
        <v>1647.1134324241689</v>
      </c>
      <c r="AD10" s="51">
        <f t="shared" si="5"/>
        <v>8.8832339999999981</v>
      </c>
      <c r="AE10" s="48" t="str">
        <f t="shared" si="17"/>
        <v>$AC$9:$AC$10</v>
      </c>
      <c r="AF10" s="48" t="str">
        <f t="shared" si="18"/>
        <v>$AD$9:$AD$10</v>
      </c>
      <c r="AG10" s="50">
        <f t="shared" ca="1" si="6"/>
        <v>1596.8927437072005</v>
      </c>
      <c r="AH10" s="47"/>
      <c r="AI10" s="54">
        <f t="shared" si="19"/>
        <v>15.24900474733203</v>
      </c>
      <c r="AJ10" s="50">
        <v>1729.9988980399239</v>
      </c>
      <c r="AK10" s="55">
        <v>0</v>
      </c>
      <c r="AL10" s="55">
        <f t="array" ref="AL10">SUM(IF(ISNUMBER(AM$6:AM10),1,0))+IF($A10&gt;Capas_AT1_C1,1,0)</f>
        <v>4</v>
      </c>
      <c r="AM10" s="51" t="e">
        <f t="shared" si="20"/>
        <v>#N/A</v>
      </c>
      <c r="AN10" s="51">
        <f t="shared" si="21"/>
        <v>1756.9209945857801</v>
      </c>
      <c r="AO10" s="51">
        <f t="shared" si="7"/>
        <v>8.8832339999999981</v>
      </c>
      <c r="AP10" s="48" t="str">
        <f t="shared" si="22"/>
        <v>$AN$9:$AN$10</v>
      </c>
      <c r="AQ10" s="48" t="str">
        <f t="shared" si="23"/>
        <v>$AO$9:$AO$10</v>
      </c>
      <c r="AR10" s="50">
        <f t="shared" ca="1" si="8"/>
        <v>1701.0978792279132</v>
      </c>
      <c r="AS10" s="47"/>
      <c r="AT10" s="54">
        <f t="shared" si="24"/>
        <v>1.8658439786460859</v>
      </c>
      <c r="AU10" s="50">
        <v>699.57983339515181</v>
      </c>
      <c r="AV10" s="55">
        <v>0</v>
      </c>
      <c r="AW10" s="55">
        <f t="array" ref="AW10">SUM(IF(ISNUMBER(AX$6:AX10),1,0))+IF($A10&gt;Capas_AT1_C1,1,0)</f>
        <v>2</v>
      </c>
      <c r="AX10" s="50" t="e">
        <f t="shared" si="25"/>
        <v>#N/A</v>
      </c>
      <c r="AY10" s="51" t="e">
        <f t="shared" si="26"/>
        <v>#N/A</v>
      </c>
      <c r="AZ10" s="51" t="e">
        <f t="shared" si="9"/>
        <v>#N/A</v>
      </c>
      <c r="BA10" s="48" t="str">
        <f t="shared" si="27"/>
        <v>$AY$7:$AY$8</v>
      </c>
      <c r="BB10" s="48" t="str">
        <f t="shared" si="28"/>
        <v>$AZ$7:$AZ$8</v>
      </c>
      <c r="BC10" s="50">
        <f t="shared" ca="1" si="10"/>
        <v>699.28249042054154</v>
      </c>
      <c r="BD10" s="47"/>
      <c r="BF10" s="43">
        <v>4</v>
      </c>
      <c r="BG10" s="15" t="str">
        <f t="shared" si="29"/>
        <v>Interfase 4</v>
      </c>
      <c r="BH10" s="56">
        <v>0.12</v>
      </c>
      <c r="BI10" s="325">
        <f>IF(BG10="Interior",$BN$23,IFERROR(IF(VLOOKUP(Seccion1!I27,Materiales[],3,FALSE)=Aux!$AP$10,IF(LEFT(VLOOKUP(Seccion1!I27,Materiales[],5,FALSE),1)="C",HLOOKUP(RIGHT(VLOOKUP(Seccion1!I27,Materiales[],5,FALSE),4),IF($BM$22=Aux!$AK$11,Aire_horizontal[#All],IF($BM$22=Aux!$AK$12,Aire_ascendente[#All],Aire_descendente[#All])),MATCH(ROUND(VLOOKUP(Seccion1!I27,Materiales[],7,FALSE)*1000,0),IF($BM$22=Aux!$AK$11,Aire_horizontal[Espesor],IF($BM$22=Aux!$AK$12,Aire_ascendente[Espesor],Aire_descendente[Espesor])),1)+1,FALSE),IF(VLOOKUP(Seccion1!I27,Materiales[],5,FALSE)=Aux!$AQ$29,IF(MID(VLOOKUP(Seccion1!I27,Materiales[],8,FALSE),1,2)="R=",VALUE(RIGHT(VLOOKUP(Seccion1!I27,Materiales[],8,FALSE),LEN(VLOOKUP(Seccion1!I27,Materiales[],8,FALSE))-2)),NA()),VLOOKUP(VLOOKUP(Seccion1!I27,Materiales[],5,FALSE),Aux!$AQ$26:$AR$29,2,FALSE))),BH10/VLOOKUP(Seccion1!I27,Materiales[],8,FALSE)),NA()))</f>
        <v>2.9268292682926829</v>
      </c>
      <c r="BJ10" s="55" t="str">
        <v>2,488</v>
      </c>
      <c r="BK10" s="51" t="b">
        <v>0</v>
      </c>
      <c r="BL10" s="56">
        <f>IF(OR(BH10="",BH10="Interior"),NA(),SUM($BH$7:$BH10))</f>
        <v>0.13136999999999999</v>
      </c>
      <c r="BM10" s="48">
        <f>IF(BG10="",NA(),SUM($BI$6:$BI10))</f>
        <v>3.1010493639864629</v>
      </c>
      <c r="BN10" s="50">
        <v>0.29855999999999999</v>
      </c>
      <c r="BO10" s="52">
        <f>IF(BN10="",NA(),SUM($BN$6:$BN10))</f>
        <v>1.2524739999999999</v>
      </c>
      <c r="BP10" s="53">
        <v>17.329044294469892</v>
      </c>
      <c r="BQ10" s="52">
        <v>1977.3998222032785</v>
      </c>
      <c r="BR10" s="54">
        <f t="shared" si="30"/>
        <v>-0.3978027093947844</v>
      </c>
      <c r="BS10" s="50">
        <v>595.25338421909248</v>
      </c>
      <c r="BT10" s="55">
        <v>0</v>
      </c>
      <c r="BU10" s="55">
        <f t="array" ref="BU10">SUM(IF(ISNUMBER(BV$6:BV10),1,0))+IF($BF10&gt;Capas_AT1_C2,1,0)</f>
        <v>1</v>
      </c>
      <c r="BV10" s="51" t="e">
        <f t="shared" si="31"/>
        <v>#N/A</v>
      </c>
      <c r="BW10" s="51" t="e">
        <f t="shared" si="32"/>
        <v>#N/A</v>
      </c>
      <c r="BX10" s="51" t="e">
        <f t="shared" si="33"/>
        <v>#N/A</v>
      </c>
      <c r="BY10" s="48" t="str">
        <f t="shared" si="34"/>
        <v>$BW$6:$BW$7</v>
      </c>
      <c r="BZ10" s="48" t="str">
        <f t="shared" si="35"/>
        <v>$BX$6:$BX$7</v>
      </c>
      <c r="CA10" s="50">
        <f t="shared" ca="1" si="36"/>
        <v>595.25338421909237</v>
      </c>
      <c r="CB10" s="47"/>
      <c r="CC10" s="54">
        <f t="shared" si="37"/>
        <v>-0.19696966094185181</v>
      </c>
      <c r="CD10" s="50">
        <v>603.89974832210441</v>
      </c>
      <c r="CE10" s="55">
        <v>0</v>
      </c>
      <c r="CF10" s="55">
        <f t="array" ref="CF10">SUM(IF(ISNUMBER(CG$6:CG10),1,0))+IF($BF10&gt;Capas_AT1_C2,1,0)</f>
        <v>1</v>
      </c>
      <c r="CG10" s="51" t="e">
        <f t="shared" si="38"/>
        <v>#N/A</v>
      </c>
      <c r="CH10" s="51" t="e">
        <f t="shared" si="39"/>
        <v>#N/A</v>
      </c>
      <c r="CI10" s="51" t="e">
        <f t="shared" si="40"/>
        <v>#N/A</v>
      </c>
      <c r="CJ10" s="48" t="str">
        <f t="shared" si="41"/>
        <v>$CH$6:$CH$7</v>
      </c>
      <c r="CK10" s="48" t="str">
        <f t="shared" si="42"/>
        <v>$CI$6:$CI$7</v>
      </c>
      <c r="CL10" s="50">
        <f t="shared" ca="1" si="43"/>
        <v>603.89974832210441</v>
      </c>
      <c r="CM10" s="47"/>
      <c r="CN10" s="54">
        <f t="shared" si="44"/>
        <v>-9.7536195845989604E-2</v>
      </c>
      <c r="CO10" s="50">
        <v>608.22293037361044</v>
      </c>
      <c r="CP10" s="55">
        <v>0</v>
      </c>
      <c r="CQ10" s="55">
        <f t="array" ref="CQ10">SUM(IF(ISNUMBER(CR$6:CR10),1,0))+IF($BF10&gt;Capas_AT1_C2,1,0)</f>
        <v>1</v>
      </c>
      <c r="CR10" s="51" t="e">
        <f t="shared" si="45"/>
        <v>#N/A</v>
      </c>
      <c r="CS10" s="51" t="e">
        <f t="shared" si="46"/>
        <v>#N/A</v>
      </c>
      <c r="CT10" s="51" t="e">
        <f t="shared" si="47"/>
        <v>#N/A</v>
      </c>
      <c r="CU10" s="48" t="str">
        <f t="shared" si="48"/>
        <v>$CS$6:$CS$7</v>
      </c>
      <c r="CV10" s="48" t="str">
        <f t="shared" si="49"/>
        <v>$CT$6:$CT$7</v>
      </c>
      <c r="CW10" s="50">
        <f t="shared" ca="1" si="50"/>
        <v>608.22293037361032</v>
      </c>
      <c r="CX10" s="47"/>
      <c r="CY10" s="54">
        <f t="shared" si="51"/>
        <v>0.11896544263669467</v>
      </c>
      <c r="CZ10" s="50">
        <v>617.73393088692376</v>
      </c>
      <c r="DA10" s="55">
        <v>0</v>
      </c>
      <c r="DB10" s="55">
        <f t="array" ref="DB10">SUM(IF(ISNUMBER(DC$6:DC10),1,0))+IF($BF10&gt;Capas_AT1_C2,1,0)</f>
        <v>1</v>
      </c>
      <c r="DC10" s="51" t="e">
        <f t="shared" si="52"/>
        <v>#N/A</v>
      </c>
      <c r="DD10" s="51" t="e">
        <f t="shared" si="53"/>
        <v>#N/A</v>
      </c>
      <c r="DE10" s="51" t="e">
        <f t="shared" si="54"/>
        <v>#N/A</v>
      </c>
      <c r="DF10" s="48" t="str">
        <f t="shared" si="55"/>
        <v>$DD$6:$DD$7</v>
      </c>
      <c r="DG10" s="48" t="str">
        <f t="shared" si="56"/>
        <v>$DE$6:$DE$7</v>
      </c>
      <c r="DH10" s="50">
        <f t="shared" ca="1" si="57"/>
        <v>617.27322182858609</v>
      </c>
      <c r="DI10" s="47"/>
    </row>
    <row r="11" spans="1:113" x14ac:dyDescent="0.25">
      <c r="A11" s="43">
        <v>5</v>
      </c>
      <c r="B11" s="15" t="str">
        <f t="shared" si="11"/>
        <v>Superficie interior</v>
      </c>
      <c r="C11" s="56">
        <v>0.01</v>
      </c>
      <c r="D11" s="325">
        <f>IF(B11="Interior",Rsi_H1,IFERROR(IF(VLOOKUP(Seccion1!$B28,Materiales[],3,FALSE)=Aux!$AP$10,IF(LEFT(VLOOKUP(Seccion1!$B28,Materiales[],5,FALSE),1)="C",HLOOKUP(RIGHT(VLOOKUP(Seccion1!$B28,Materiales[],5,FALSE),4),IF($H$22=Aux!$AK$11,Aire_horizontal[#All],IF($H$22=Aux!$AK$12,Aire_ascendente[#All],Aire_descendente[#All])),MATCH(ROUND(VLOOKUP(Seccion1!$B28,Materiales[],7,FALSE)*1000,0),IF($H$22=Aux!$AK$11,Aire_horizontal[Espesor],IF($H$22=Aux!$AK$12,Aire_ascendente[Espesor],Aire_descendente[Espesor])),1)+1,FALSE),IF(VLOOKUP(Seccion1!$B28,Materiales[],5,FALSE)=Aux!$AQ$29,IF(MID(VLOOKUP(Seccion1!$B28,Materiales[],8,FALSE),1,2)="R=",VALUE(RIGHT(VLOOKUP(Seccion1!$B28,Materiales[],8,FALSE),LEN(VLOOKUP(Seccion1!$B28,Materiales[],8,FALSE))-2)),NA()),VLOOKUP(VLOOKUP(Seccion1!$B28,Materiales[],5,FALSE),Aux!$AQ$26:$AR$29,2,FALSE))),C11/VLOOKUP(Seccion1!$B28,Materiales[],8,FALSE)),NA()))</f>
        <v>4.1666666666666671E-2</v>
      </c>
      <c r="E11" s="55" t="str">
        <v>20</v>
      </c>
      <c r="F11" s="51" t="b">
        <v>0</v>
      </c>
      <c r="G11" s="56">
        <f>IF(OR(B11="",B11="Interior"),NA(),SUM($C$7:$C11))</f>
        <v>0.15210000000000001</v>
      </c>
      <c r="H11" s="48">
        <f>IF(B11="",NA(),SUM($D$6:$D11))</f>
        <v>3.0971370683579984</v>
      </c>
      <c r="I11" s="50">
        <v>0.2</v>
      </c>
      <c r="J11" s="52">
        <f>IF(I11="",NA(),SUM($I$6:$I11))</f>
        <v>8.8832339999999981</v>
      </c>
      <c r="K11" s="53">
        <v>17.551000481620772</v>
      </c>
      <c r="L11" s="47">
        <v>2005.3110909846605</v>
      </c>
      <c r="M11" s="54">
        <f t="shared" si="12"/>
        <v>12.298357099136647</v>
      </c>
      <c r="N11" s="51">
        <v>1427.4983081009464</v>
      </c>
      <c r="O11" s="55">
        <v>0</v>
      </c>
      <c r="P11" s="51">
        <f t="shared" ca="1" si="0"/>
        <v>1427.4983081009464</v>
      </c>
      <c r="Q11" s="47"/>
      <c r="R11" s="55">
        <f t="array" ref="R11">SUM(IF(ISNUMBER(S$6:S11),1,0))+IF($A11&gt;Capas_AT1_C1,1,0)</f>
        <v>5</v>
      </c>
      <c r="S11" s="51">
        <f t="shared" si="13"/>
        <v>1427.4983081009464</v>
      </c>
      <c r="T11" s="51" t="e">
        <f t="shared" si="1"/>
        <v>#N/A</v>
      </c>
      <c r="U11" s="51" t="e">
        <f t="shared" si="2"/>
        <v>#N/A</v>
      </c>
      <c r="V11" s="48" t="str">
        <f t="shared" si="3"/>
        <v>$T$10:$T$11</v>
      </c>
      <c r="W11" s="48" t="str">
        <f t="shared" si="4"/>
        <v>$U$10:$U$11</v>
      </c>
      <c r="X11" s="54">
        <f t="shared" si="14"/>
        <v>14.489071414744854</v>
      </c>
      <c r="Y11" s="50">
        <v>1647.1134324241689</v>
      </c>
      <c r="Z11" s="55">
        <v>0</v>
      </c>
      <c r="AA11" s="55">
        <f t="array" ref="AA11">SUM(IF(ISNUMBER(AB$6:AB11),1,0))+IF($A11&gt;Capas_AT1_C1,1,0)</f>
        <v>5</v>
      </c>
      <c r="AB11" s="51">
        <f t="shared" si="15"/>
        <v>1647.1134324241689</v>
      </c>
      <c r="AC11" s="51" t="e">
        <f t="shared" si="16"/>
        <v>#N/A</v>
      </c>
      <c r="AD11" s="51" t="e">
        <f t="shared" si="5"/>
        <v>#N/A</v>
      </c>
      <c r="AE11" s="48" t="str">
        <f t="shared" si="17"/>
        <v>$AC$10:$AC$11</v>
      </c>
      <c r="AF11" s="48" t="str">
        <f t="shared" si="18"/>
        <v>$AD$10:$AD$11</v>
      </c>
      <c r="AG11" s="50">
        <f t="shared" ca="1" si="6"/>
        <v>1647.1134324241689</v>
      </c>
      <c r="AH11" s="47"/>
      <c r="AI11" s="54">
        <f t="shared" si="19"/>
        <v>15.488921561832724</v>
      </c>
      <c r="AJ11" s="50">
        <v>1756.9209945857801</v>
      </c>
      <c r="AK11" s="55">
        <v>0</v>
      </c>
      <c r="AL11" s="55">
        <f t="array" ref="AL11">SUM(IF(ISNUMBER(AM$6:AM11),1,0))+IF($A11&gt;Capas_AT1_C1,1,0)</f>
        <v>5</v>
      </c>
      <c r="AM11" s="51">
        <f t="shared" si="20"/>
        <v>1756.9209945857801</v>
      </c>
      <c r="AN11" s="51" t="e">
        <f t="shared" si="21"/>
        <v>#N/A</v>
      </c>
      <c r="AO11" s="51" t="e">
        <f t="shared" si="7"/>
        <v>#N/A</v>
      </c>
      <c r="AP11" s="48" t="str">
        <f t="shared" si="22"/>
        <v>$AN$10:$AN$11</v>
      </c>
      <c r="AQ11" s="48" t="str">
        <f t="shared" si="23"/>
        <v>$AO$10:$AO$11</v>
      </c>
      <c r="AR11" s="50">
        <f t="shared" ca="1" si="8"/>
        <v>1756.9209945857801</v>
      </c>
      <c r="AS11" s="47"/>
      <c r="AT11" s="54">
        <f t="shared" si="24"/>
        <v>1.9300621451108975</v>
      </c>
      <c r="AU11" s="50">
        <v>702.76839783431228</v>
      </c>
      <c r="AV11" s="55">
        <v>0</v>
      </c>
      <c r="AW11" s="55">
        <f t="array" ref="AW11">SUM(IF(ISNUMBER(AX$6:AX11),1,0))+IF($A11&gt;Capas_AT1_C1,1,0)</f>
        <v>3</v>
      </c>
      <c r="AX11" s="50">
        <f t="shared" si="25"/>
        <v>702.76839783431228</v>
      </c>
      <c r="AY11" s="51" t="e">
        <f t="shared" si="26"/>
        <v>#N/A</v>
      </c>
      <c r="AZ11" s="51" t="e">
        <f t="shared" si="9"/>
        <v>#N/A</v>
      </c>
      <c r="BA11" s="48" t="str">
        <f t="shared" si="27"/>
        <v>$AY$8:$AY$9</v>
      </c>
      <c r="BB11" s="48" t="str">
        <f t="shared" si="28"/>
        <v>$AZ$8:$AZ$9</v>
      </c>
      <c r="BC11" s="50">
        <f t="shared" ca="1" si="10"/>
        <v>702.76839783431228</v>
      </c>
      <c r="BD11" s="47"/>
      <c r="BF11" s="43">
        <v>5</v>
      </c>
      <c r="BG11" s="15" t="str">
        <f t="shared" si="29"/>
        <v>Interfase 5</v>
      </c>
      <c r="BH11" s="56">
        <v>2.0000000000000001E-4</v>
      </c>
      <c r="BI11" s="325">
        <f>IF(BG11="Interior",$BN$23,IFERROR(IF(VLOOKUP(Seccion1!I28,Materiales[],3,FALSE)=Aux!$AP$10,IF(LEFT(VLOOKUP(Seccion1!I28,Materiales[],5,FALSE),1)="C",HLOOKUP(RIGHT(VLOOKUP(Seccion1!I28,Materiales[],5,FALSE),4),IF($BM$22=Aux!$AK$11,Aire_horizontal[#All],IF($BM$22=Aux!$AK$12,Aire_ascendente[#All],Aire_descendente[#All])),MATCH(ROUND(VLOOKUP(Seccion1!I28,Materiales[],7,FALSE)*1000,0),IF($BM$22=Aux!$AK$11,Aire_horizontal[Espesor],IF($BM$22=Aux!$AK$12,Aire_ascendente[Espesor],Aire_descendente[Espesor])),1)+1,FALSE),IF(VLOOKUP(Seccion1!I28,Materiales[],5,FALSE)=Aux!$AQ$29,IF(MID(VLOOKUP(Seccion1!I28,Materiales[],8,FALSE),1,2)="R=",VALUE(RIGHT(VLOOKUP(Seccion1!I28,Materiales[],8,FALSE),LEN(VLOOKUP(Seccion1!I28,Materiales[],8,FALSE))-2)),NA()),VLOOKUP(VLOOKUP(Seccion1!I28,Materiales[],5,FALSE),Aux!$AQ$26:$AR$29,2,FALSE))),BH11/VLOOKUP(Seccion1!I28,Materiales[],8,FALSE)),NA()))</f>
        <v>6.0606060606060606E-4</v>
      </c>
      <c r="BJ11" s="55" t="str">
        <v>151800</v>
      </c>
      <c r="BK11" s="51" t="b">
        <v>0</v>
      </c>
      <c r="BL11" s="56">
        <f>IF(OR(BH11="",BH11="Interior"),NA(),SUM($BH$7:$BH11))</f>
        <v>0.13156999999999999</v>
      </c>
      <c r="BM11" s="48">
        <f>IF(BG11="",NA(),SUM($BI$6:$BI11))</f>
        <v>3.1016554245925234</v>
      </c>
      <c r="BN11" s="50">
        <v>30.360000000000003</v>
      </c>
      <c r="BO11" s="52">
        <f>IF(BN11="",NA(),SUM($BN$6:$BN11))</f>
        <v>31.612474000000002</v>
      </c>
      <c r="BP11" s="53">
        <v>17.332509210396339</v>
      </c>
      <c r="BQ11" s="52">
        <v>1977.8329119332379</v>
      </c>
      <c r="BR11" s="54">
        <f t="shared" si="30"/>
        <v>12.240319023391473</v>
      </c>
      <c r="BS11" s="50">
        <v>1422.0516790179499</v>
      </c>
      <c r="BT11" s="55">
        <v>0</v>
      </c>
      <c r="BU11" s="55">
        <f t="array" ref="BU11">SUM(IF(ISNUMBER(BV$6:BV11),1,0))+IF($BF11&gt;Capas_AT1_C2,1,0)</f>
        <v>1</v>
      </c>
      <c r="BV11" s="51" t="e">
        <f t="shared" si="31"/>
        <v>#N/A</v>
      </c>
      <c r="BW11" s="51" t="e">
        <f t="shared" si="32"/>
        <v>#N/A</v>
      </c>
      <c r="BX11" s="51" t="e">
        <f t="shared" si="33"/>
        <v>#N/A</v>
      </c>
      <c r="BY11" s="48" t="str">
        <f t="shared" si="34"/>
        <v>$BW$6:$BW$7</v>
      </c>
      <c r="BZ11" s="48" t="str">
        <f t="shared" si="35"/>
        <v>$BX$6:$BX$7</v>
      </c>
      <c r="CA11" s="50">
        <f t="shared" ca="1" si="36"/>
        <v>1422.0516790179499</v>
      </c>
      <c r="CB11" s="47"/>
      <c r="CC11" s="54">
        <f t="shared" si="37"/>
        <v>14.424977917869578</v>
      </c>
      <c r="CD11" s="50">
        <v>1640.2861177376371</v>
      </c>
      <c r="CE11" s="55">
        <v>0</v>
      </c>
      <c r="CF11" s="55">
        <f t="array" ref="CF11">SUM(IF(ISNUMBER(CG$6:CG11),1,0))+IF($BF11&gt;Capas_AT1_C2,1,0)</f>
        <v>1</v>
      </c>
      <c r="CG11" s="51" t="e">
        <f t="shared" si="38"/>
        <v>#N/A</v>
      </c>
      <c r="CH11" s="51" t="e">
        <f t="shared" si="39"/>
        <v>#N/A</v>
      </c>
      <c r="CI11" s="51" t="e">
        <f t="shared" si="40"/>
        <v>#N/A</v>
      </c>
      <c r="CJ11" s="48" t="str">
        <f t="shared" si="41"/>
        <v>$CH$6:$CH$7</v>
      </c>
      <c r="CK11" s="48" t="str">
        <f t="shared" si="42"/>
        <v>$CI$6:$CI$7</v>
      </c>
      <c r="CL11" s="50">
        <f t="shared" ca="1" si="43"/>
        <v>1640.2861177376371</v>
      </c>
      <c r="CM11" s="47"/>
      <c r="CN11" s="54">
        <f t="shared" si="44"/>
        <v>15.422256374369844</v>
      </c>
      <c r="CO11" s="50">
        <v>1749.4033370974807</v>
      </c>
      <c r="CP11" s="55">
        <v>0</v>
      </c>
      <c r="CQ11" s="55">
        <f t="array" ref="CQ11">SUM(IF(ISNUMBER(CR$6:CR11),1,0))+IF($BF11&gt;Capas_AT1_C2,1,0)</f>
        <v>1</v>
      </c>
      <c r="CR11" s="51" t="e">
        <f t="shared" si="45"/>
        <v>#N/A</v>
      </c>
      <c r="CS11" s="51" t="e">
        <f t="shared" si="46"/>
        <v>#N/A</v>
      </c>
      <c r="CT11" s="51" t="e">
        <f t="shared" si="47"/>
        <v>#N/A</v>
      </c>
      <c r="CU11" s="48" t="str">
        <f t="shared" si="48"/>
        <v>$CS$6:$CS$7</v>
      </c>
      <c r="CV11" s="48" t="str">
        <f t="shared" si="49"/>
        <v>$CT$6:$CT$7</v>
      </c>
      <c r="CW11" s="50">
        <f t="shared" ca="1" si="50"/>
        <v>1749.4033370974805</v>
      </c>
      <c r="CX11" s="47"/>
      <c r="CY11" s="54">
        <f t="shared" si="51"/>
        <v>17.436109005523257</v>
      </c>
      <c r="CZ11" s="50">
        <v>1989.461219689138</v>
      </c>
      <c r="DA11" s="55">
        <v>1</v>
      </c>
      <c r="DB11" s="55">
        <f t="array" ref="DB11">SUM(IF(ISNUMBER(DC$6:DC11),1,0))+IF($BF11&gt;Capas_AT1_C2,1,0)</f>
        <v>2</v>
      </c>
      <c r="DC11" s="51">
        <f t="shared" si="52"/>
        <v>1977.8329119332379</v>
      </c>
      <c r="DD11" s="51" t="e">
        <f t="shared" si="53"/>
        <v>#N/A</v>
      </c>
      <c r="DE11" s="51" t="e">
        <f t="shared" si="54"/>
        <v>#N/A</v>
      </c>
      <c r="DF11" s="48" t="str">
        <f t="shared" si="55"/>
        <v>$DD$7:$DD$8</v>
      </c>
      <c r="DG11" s="48" t="str">
        <f t="shared" si="56"/>
        <v>$DE$7:$DE$8</v>
      </c>
      <c r="DH11" s="50">
        <f t="shared" ca="1" si="57"/>
        <v>1977.8329119332379</v>
      </c>
      <c r="DI11" s="47"/>
    </row>
    <row r="12" spans="1:113" x14ac:dyDescent="0.25">
      <c r="A12" s="43">
        <v>6</v>
      </c>
      <c r="B12" s="15" t="str">
        <f t="shared" si="11"/>
        <v>Interior</v>
      </c>
      <c r="C12" s="56" t="e">
        <v>#N/A</v>
      </c>
      <c r="D12" s="325">
        <f>IF(B12="Interior",Rsi_H1,IFERROR(IF(VLOOKUP(Seccion1!$B29,Materiales[],3,FALSE)=Aux!$AP$10,IF(LEFT(VLOOKUP(Seccion1!$B29,Materiales[],5,FALSE),1)="C",HLOOKUP(RIGHT(VLOOKUP(Seccion1!$B29,Materiales[],5,FALSE),4),IF($H$22=Aux!$AK$11,Aire_horizontal[#All],IF($H$22=Aux!$AK$12,Aire_ascendente[#All],Aire_descendente[#All])),MATCH(ROUND(VLOOKUP(Seccion1!$B29,Materiales[],7,FALSE)*1000,0),IF($H$22=Aux!$AK$11,Aire_horizontal[Espesor],IF($H$22=Aux!$AK$12,Aire_ascendente[Espesor],Aire_descendente[Espesor])),1)+1,FALSE),IF(VLOOKUP(Seccion1!$B29,Materiales[],5,FALSE)=Aux!$AQ$29,IF(MID(VLOOKUP(Seccion1!$B29,Materiales[],8,FALSE),1,2)="R=",VALUE(RIGHT(VLOOKUP(Seccion1!$B29,Materiales[],8,FALSE),LEN(VLOOKUP(Seccion1!$B29,Materiales[],8,FALSE))-2)),NA()),VLOOKUP(VLOOKUP(Seccion1!$B29,Materiales[],5,FALSE),Aux!$AQ$26:$AR$29,2,FALSE))),C12/VLOOKUP(Seccion1!$B29,Materiales[],8,FALSE)),NA()))</f>
        <v>0.25</v>
      </c>
      <c r="E12" s="55" t="e">
        <v>#N/A</v>
      </c>
      <c r="F12" s="51" t="e">
        <v>#N/A</v>
      </c>
      <c r="G12" s="56" t="e">
        <f>IF(OR(B12="",B12="Interior"),NA(),SUM($C$7:$C12))</f>
        <v>#N/A</v>
      </c>
      <c r="H12" s="48">
        <f>IF(B12="",NA(),SUM($D$6:$D12))</f>
        <v>3.3471370683579984</v>
      </c>
      <c r="I12" s="50" t="e">
        <v>#N/A</v>
      </c>
      <c r="J12" s="52" t="e">
        <f>IF(I12="",NA(),SUM($I$6:$I12))</f>
        <v>#N/A</v>
      </c>
      <c r="K12" s="53">
        <v>19.000000000000004</v>
      </c>
      <c r="L12" s="47">
        <v>2196.1512432322261</v>
      </c>
      <c r="M12" s="54" t="e">
        <f t="shared" si="12"/>
        <v>#N/A</v>
      </c>
      <c r="N12" s="51" t="e">
        <v>#N/A</v>
      </c>
      <c r="O12" s="55" t="e">
        <v>#N/A</v>
      </c>
      <c r="P12" s="51" t="e">
        <f t="shared" ca="1" si="0"/>
        <v>#N/A</v>
      </c>
      <c r="Q12" s="47"/>
      <c r="R12" s="55">
        <f t="array" ref="R12">SUM(IF(ISNUMBER(S$6:S12),1,0))+IF($A12&gt;Capas_AT1_C1,1,0)</f>
        <v>6</v>
      </c>
      <c r="S12" s="51" t="e">
        <f t="shared" si="13"/>
        <v>#N/A</v>
      </c>
      <c r="T12" s="51" t="e">
        <f t="shared" si="1"/>
        <v>#N/A</v>
      </c>
      <c r="U12" s="51" t="e">
        <f t="shared" si="2"/>
        <v>#N/A</v>
      </c>
      <c r="V12" s="48" t="str">
        <f t="shared" si="3"/>
        <v>$T$11:$T$12</v>
      </c>
      <c r="W12" s="48" t="str">
        <f t="shared" si="4"/>
        <v>$U$11:$U$12</v>
      </c>
      <c r="X12" s="54" t="e">
        <f t="shared" si="14"/>
        <v>#N/A</v>
      </c>
      <c r="Y12" s="50" t="e">
        <v>#N/A</v>
      </c>
      <c r="Z12" s="55" t="e">
        <v>#N/A</v>
      </c>
      <c r="AA12" s="55">
        <f t="array" ref="AA12">SUM(IF(ISNUMBER(AB$6:AB12),1,0))+IF($A12&gt;Capas_AT1_C1,1,0)</f>
        <v>6</v>
      </c>
      <c r="AB12" s="51" t="e">
        <f t="shared" si="15"/>
        <v>#N/A</v>
      </c>
      <c r="AC12" s="51" t="e">
        <f t="shared" si="16"/>
        <v>#N/A</v>
      </c>
      <c r="AD12" s="51" t="e">
        <f t="shared" si="5"/>
        <v>#N/A</v>
      </c>
      <c r="AE12" s="48" t="str">
        <f t="shared" si="17"/>
        <v>$AC$11:$AC$12</v>
      </c>
      <c r="AF12" s="48" t="str">
        <f t="shared" si="18"/>
        <v>$AD$11:$AD$12</v>
      </c>
      <c r="AG12" s="50" t="e">
        <f t="shared" ca="1" si="6"/>
        <v>#N/A</v>
      </c>
      <c r="AH12" s="47"/>
      <c r="AI12" s="54" t="e">
        <f t="shared" si="19"/>
        <v>#N/A</v>
      </c>
      <c r="AJ12" s="50" t="e">
        <v>#N/A</v>
      </c>
      <c r="AK12" s="55" t="e">
        <v>#N/A</v>
      </c>
      <c r="AL12" s="55">
        <f t="array" ref="AL12">SUM(IF(ISNUMBER(AM$6:AM12),1,0))+IF($A12&gt;Capas_AT1_C1,1,0)</f>
        <v>6</v>
      </c>
      <c r="AM12" s="51" t="e">
        <f t="shared" si="20"/>
        <v>#N/A</v>
      </c>
      <c r="AN12" s="51" t="e">
        <f t="shared" si="21"/>
        <v>#N/A</v>
      </c>
      <c r="AO12" s="51" t="e">
        <f t="shared" si="7"/>
        <v>#N/A</v>
      </c>
      <c r="AP12" s="48" t="str">
        <f t="shared" si="22"/>
        <v>$AN$11:$AN$12</v>
      </c>
      <c r="AQ12" s="48" t="str">
        <f t="shared" si="23"/>
        <v>$AO$11:$AO$12</v>
      </c>
      <c r="AR12" s="50" t="e">
        <f t="shared" ca="1" si="8"/>
        <v>#N/A</v>
      </c>
      <c r="AS12" s="47"/>
      <c r="AT12" s="54" t="e">
        <f t="shared" si="24"/>
        <v>#N/A</v>
      </c>
      <c r="AU12" s="50" t="e">
        <v>#N/A</v>
      </c>
      <c r="AV12" s="55" t="e">
        <v>#N/A</v>
      </c>
      <c r="AW12" s="55">
        <f t="array" ref="AW12">SUM(IF(ISNUMBER(AX$6:AX12),1,0))+IF($A12&gt;Capas_AT1_C1,1,0)</f>
        <v>4</v>
      </c>
      <c r="AX12" s="50" t="e">
        <f t="shared" si="25"/>
        <v>#N/A</v>
      </c>
      <c r="AY12" s="51" t="e">
        <f t="shared" si="26"/>
        <v>#N/A</v>
      </c>
      <c r="AZ12" s="51" t="e">
        <f t="shared" si="9"/>
        <v>#N/A</v>
      </c>
      <c r="BA12" s="48" t="str">
        <f t="shared" si="27"/>
        <v>$AY$9:$AY$10</v>
      </c>
      <c r="BB12" s="48" t="str">
        <f t="shared" si="28"/>
        <v>$AZ$9:$AZ$10</v>
      </c>
      <c r="BC12" s="50" t="e">
        <f t="shared" ca="1" si="10"/>
        <v>#N/A</v>
      </c>
      <c r="BD12" s="47"/>
      <c r="BF12" s="43">
        <v>6</v>
      </c>
      <c r="BG12" s="15" t="str">
        <f t="shared" si="29"/>
        <v>Superficie interior</v>
      </c>
      <c r="BH12" s="56">
        <v>0.01</v>
      </c>
      <c r="BI12" s="325">
        <f>IF(BG12="Interior",$BN$23,IFERROR(IF(VLOOKUP(Seccion1!I29,Materiales[],3,FALSE)=Aux!$AP$10,IF(LEFT(VLOOKUP(Seccion1!I29,Materiales[],5,FALSE),1)="C",HLOOKUP(RIGHT(VLOOKUP(Seccion1!I29,Materiales[],5,FALSE),4),IF($BM$22=Aux!$AK$11,Aire_horizontal[#All],IF($BM$22=Aux!$AK$12,Aire_ascendente[#All],Aire_descendente[#All])),MATCH(ROUND(VLOOKUP(Seccion1!I29,Materiales[],7,FALSE)*1000,0),IF($BM$22=Aux!$AK$11,Aire_horizontal[Espesor],IF($BM$22=Aux!$AK$12,Aire_ascendente[Espesor],Aire_descendente[Espesor])),1)+1,FALSE),IF(VLOOKUP(Seccion1!I29,Materiales[],5,FALSE)=Aux!$AQ$29,IF(MID(VLOOKUP(Seccion1!I29,Materiales[],8,FALSE),1,2)="R=",VALUE(RIGHT(VLOOKUP(Seccion1!I29,Materiales[],8,FALSE),LEN(VLOOKUP(Seccion1!I29,Materiales[],8,FALSE))-2)),NA()),VLOOKUP(VLOOKUP(Seccion1!I29,Materiales[],5,FALSE),Aux!$AQ$26:$AR$29,2,FALSE))),BH12/VLOOKUP(Seccion1!I29,Materiales[],8,FALSE)),NA()))</f>
        <v>4.1666666666666671E-2</v>
      </c>
      <c r="BJ12" s="55" t="str">
        <v>20</v>
      </c>
      <c r="BK12" s="51" t="b">
        <v>0</v>
      </c>
      <c r="BL12" s="56">
        <f>IF(OR(BH12="",BH12="Interior"),NA(),SUM($BH$7:$BH12))</f>
        <v>0.14157</v>
      </c>
      <c r="BM12" s="48">
        <f>IF(BG12="",NA(),SUM($BI$6:$BI12))</f>
        <v>3.1433220912591899</v>
      </c>
      <c r="BN12" s="50">
        <v>0.2</v>
      </c>
      <c r="BO12" s="52">
        <f>IF(BN12="",NA(),SUM($BN$6:$BN12))</f>
        <v>31.812474000000002</v>
      </c>
      <c r="BP12" s="53">
        <v>17.570722180339718</v>
      </c>
      <c r="BQ12" s="52">
        <v>2007.8077252207772</v>
      </c>
      <c r="BR12" s="54">
        <f t="shared" si="30"/>
        <v>12.298357099136647</v>
      </c>
      <c r="BS12" s="50">
        <v>1427.4983081009464</v>
      </c>
      <c r="BT12" s="55">
        <v>0</v>
      </c>
      <c r="BU12" s="55">
        <f t="array" ref="BU12">SUM(IF(ISNUMBER(BV$6:BV12),1,0))+IF($BF12&gt;Capas_AT1_C2,1,0)</f>
        <v>2</v>
      </c>
      <c r="BV12" s="51">
        <f t="shared" si="31"/>
        <v>1427.4983081009464</v>
      </c>
      <c r="BW12" s="51" t="e">
        <f t="shared" si="32"/>
        <v>#N/A</v>
      </c>
      <c r="BX12" s="51" t="e">
        <f t="shared" si="33"/>
        <v>#N/A</v>
      </c>
      <c r="BY12" s="48" t="str">
        <f t="shared" si="34"/>
        <v>$BW$7:$BW$8</v>
      </c>
      <c r="BZ12" s="48" t="str">
        <f t="shared" si="35"/>
        <v>$BX$7:$BX$8</v>
      </c>
      <c r="CA12" s="50">
        <f t="shared" ca="1" si="36"/>
        <v>1427.4983081009464</v>
      </c>
      <c r="CB12" s="47"/>
      <c r="CC12" s="54">
        <f t="shared" si="37"/>
        <v>14.489071414744854</v>
      </c>
      <c r="CD12" s="50">
        <v>1647.1134324241689</v>
      </c>
      <c r="CE12" s="55">
        <v>0</v>
      </c>
      <c r="CF12" s="55">
        <f t="array" ref="CF12">SUM(IF(ISNUMBER(CG$6:CG12),1,0))+IF($BF12&gt;Capas_AT1_C2,1,0)</f>
        <v>2</v>
      </c>
      <c r="CG12" s="51">
        <f t="shared" si="38"/>
        <v>1647.1134324241689</v>
      </c>
      <c r="CH12" s="51" t="e">
        <f t="shared" si="39"/>
        <v>#N/A</v>
      </c>
      <c r="CI12" s="51" t="e">
        <f t="shared" si="40"/>
        <v>#N/A</v>
      </c>
      <c r="CJ12" s="48" t="str">
        <f t="shared" si="41"/>
        <v>$CH$7:$CH$8</v>
      </c>
      <c r="CK12" s="48" t="str">
        <f t="shared" si="42"/>
        <v>$CI$7:$CI$8</v>
      </c>
      <c r="CL12" s="50">
        <f t="shared" ca="1" si="43"/>
        <v>1647.1134324241689</v>
      </c>
      <c r="CM12" s="47"/>
      <c r="CN12" s="54">
        <f t="shared" si="44"/>
        <v>15.488921561832724</v>
      </c>
      <c r="CO12" s="50">
        <v>1756.9209945857801</v>
      </c>
      <c r="CP12" s="55">
        <v>0</v>
      </c>
      <c r="CQ12" s="55">
        <f t="array" ref="CQ12">SUM(IF(ISNUMBER(CR$6:CR12),1,0))+IF($BF12&gt;Capas_AT1_C2,1,0)</f>
        <v>2</v>
      </c>
      <c r="CR12" s="51">
        <f t="shared" si="45"/>
        <v>1756.9209945857801</v>
      </c>
      <c r="CS12" s="51" t="e">
        <f t="shared" si="46"/>
        <v>#N/A</v>
      </c>
      <c r="CT12" s="51" t="e">
        <f t="shared" si="47"/>
        <v>#N/A</v>
      </c>
      <c r="CU12" s="48" t="str">
        <f t="shared" si="48"/>
        <v>$CS$7:$CS$8</v>
      </c>
      <c r="CV12" s="48" t="str">
        <f t="shared" si="49"/>
        <v>$CT$7:$CT$8</v>
      </c>
      <c r="CW12" s="50">
        <f t="shared" ca="1" si="50"/>
        <v>1756.9209945857801</v>
      </c>
      <c r="CX12" s="47"/>
      <c r="CY12" s="54">
        <f t="shared" si="51"/>
        <v>17.507646000094262</v>
      </c>
      <c r="CZ12" s="50">
        <v>1998.4976313413263</v>
      </c>
      <c r="DA12" s="55">
        <v>0</v>
      </c>
      <c r="DB12" s="55">
        <f t="array" ref="DB12">SUM(IF(ISNUMBER(DC$6:DC12),1,0))+IF($BF12&gt;Capas_AT1_C2,1,0)</f>
        <v>3</v>
      </c>
      <c r="DC12" s="51">
        <f t="shared" si="52"/>
        <v>1998.4976313413263</v>
      </c>
      <c r="DD12" s="51" t="e">
        <f t="shared" si="53"/>
        <v>#N/A</v>
      </c>
      <c r="DE12" s="51" t="e">
        <f t="shared" si="54"/>
        <v>#N/A</v>
      </c>
      <c r="DF12" s="48" t="str">
        <f t="shared" si="55"/>
        <v>$DD$8:$DD$9</v>
      </c>
      <c r="DG12" s="48" t="str">
        <f t="shared" si="56"/>
        <v>$DE$8:$DE$9</v>
      </c>
      <c r="DH12" s="50">
        <f t="shared" ca="1" si="57"/>
        <v>1998.4976313413263</v>
      </c>
      <c r="DI12" s="47"/>
    </row>
    <row r="13" spans="1:113" x14ac:dyDescent="0.25">
      <c r="A13" s="43">
        <v>7</v>
      </c>
      <c r="B13" s="15" t="e">
        <f t="shared" si="11"/>
        <v>#N/A</v>
      </c>
      <c r="C13" s="56" t="e">
        <v>#N/A</v>
      </c>
      <c r="D13" s="325" t="e">
        <f>IF(B13="Interior",Rsi_H1,IFERROR(IF(VLOOKUP(Seccion1!$B30,Materiales[],3,FALSE)=Aux!$AP$10,IF(LEFT(VLOOKUP(Seccion1!$B30,Materiales[],5,FALSE),1)="C",HLOOKUP(RIGHT(VLOOKUP(Seccion1!$B30,Materiales[],5,FALSE),4),IF($H$22=Aux!$AK$11,Aire_horizontal[#All],IF($H$22=Aux!$AK$12,Aire_ascendente[#All],Aire_descendente[#All])),MATCH(ROUND(VLOOKUP(Seccion1!$B30,Materiales[],7,FALSE)*1000,0),IF($H$22=Aux!$AK$11,Aire_horizontal[Espesor],IF($H$22=Aux!$AK$12,Aire_ascendente[Espesor],Aire_descendente[Espesor])),1)+1,FALSE),IF(VLOOKUP(Seccion1!$B30,Materiales[],5,FALSE)=Aux!$AQ$29,IF(MID(VLOOKUP(Seccion1!$B30,Materiales[],8,FALSE),1,2)="R=",VALUE(RIGHT(VLOOKUP(Seccion1!$B30,Materiales[],8,FALSE),LEN(VLOOKUP(Seccion1!$B30,Materiales[],8,FALSE))-2)),NA()),VLOOKUP(VLOOKUP(Seccion1!$B30,Materiales[],5,FALSE),Aux!$AQ$26:$AR$29,2,FALSE))),C13/VLOOKUP(Seccion1!$B30,Materiales[],8,FALSE)),NA()))</f>
        <v>#N/A</v>
      </c>
      <c r="E13" s="55" t="e">
        <v>#N/A</v>
      </c>
      <c r="F13" s="51" t="e">
        <v>#N/A</v>
      </c>
      <c r="G13" s="56" t="e">
        <f>IF(OR(B13="",B13="Interior"),NA(),SUM($C$7:$C13))</f>
        <v>#N/A</v>
      </c>
      <c r="H13" s="48" t="e">
        <f>IF(B13="",NA(),SUM($D$6:$D13))</f>
        <v>#N/A</v>
      </c>
      <c r="I13" s="50" t="e">
        <v>#N/A</v>
      </c>
      <c r="J13" s="52" t="e">
        <f>IF(I13="",NA(),SUM($I$6:$I13))</f>
        <v>#N/A</v>
      </c>
      <c r="K13" s="53" t="e">
        <v>#N/A</v>
      </c>
      <c r="L13" s="47" t="e">
        <v>#N/A</v>
      </c>
      <c r="M13" s="54" t="e">
        <f t="shared" si="12"/>
        <v>#N/A</v>
      </c>
      <c r="N13" s="51" t="e">
        <v>#N/A</v>
      </c>
      <c r="O13" s="55" t="e">
        <v>#N/A</v>
      </c>
      <c r="P13" s="51" t="e">
        <f t="shared" ca="1" si="0"/>
        <v>#N/A</v>
      </c>
      <c r="Q13" s="47"/>
      <c r="R13" s="55">
        <f t="array" ref="R13">SUM(IF(ISNUMBER(S$6:S13),1,0))+IF($A13&gt;Capas_AT1_C1,1,0)</f>
        <v>6</v>
      </c>
      <c r="S13" s="51" t="e">
        <f t="shared" si="13"/>
        <v>#N/A</v>
      </c>
      <c r="T13" s="51" t="e">
        <f t="shared" si="1"/>
        <v>#N/A</v>
      </c>
      <c r="U13" s="51" t="e">
        <f t="shared" si="2"/>
        <v>#N/A</v>
      </c>
      <c r="V13" s="48" t="str">
        <f t="shared" si="3"/>
        <v>$T$11:$T$12</v>
      </c>
      <c r="W13" s="48" t="str">
        <f t="shared" si="4"/>
        <v>$U$11:$U$12</v>
      </c>
      <c r="X13" s="54" t="e">
        <f t="shared" si="14"/>
        <v>#N/A</v>
      </c>
      <c r="Y13" s="50" t="e">
        <v>#N/A</v>
      </c>
      <c r="Z13" s="55" t="e">
        <v>#N/A</v>
      </c>
      <c r="AA13" s="55">
        <f t="array" ref="AA13">SUM(IF(ISNUMBER(AB$6:AB13),1,0))+IF($A13&gt;Capas_AT1_C1,1,0)</f>
        <v>6</v>
      </c>
      <c r="AB13" s="51" t="e">
        <f t="shared" si="15"/>
        <v>#N/A</v>
      </c>
      <c r="AC13" s="51" t="e">
        <f t="shared" si="16"/>
        <v>#N/A</v>
      </c>
      <c r="AD13" s="51" t="e">
        <f t="shared" si="5"/>
        <v>#N/A</v>
      </c>
      <c r="AE13" s="48" t="str">
        <f t="shared" si="17"/>
        <v>$AC$11:$AC$12</v>
      </c>
      <c r="AF13" s="48" t="str">
        <f t="shared" si="18"/>
        <v>$AD$11:$AD$12</v>
      </c>
      <c r="AG13" s="50" t="e">
        <f t="shared" ca="1" si="6"/>
        <v>#N/A</v>
      </c>
      <c r="AH13" s="47"/>
      <c r="AI13" s="54" t="e">
        <f t="shared" si="19"/>
        <v>#N/A</v>
      </c>
      <c r="AJ13" s="50" t="e">
        <v>#N/A</v>
      </c>
      <c r="AK13" s="55" t="e">
        <v>#N/A</v>
      </c>
      <c r="AL13" s="55">
        <f t="array" ref="AL13">SUM(IF(ISNUMBER(AM$6:AM13),1,0))+IF($A13&gt;Capas_AT1_C1,1,0)</f>
        <v>6</v>
      </c>
      <c r="AM13" s="51" t="e">
        <f t="shared" si="20"/>
        <v>#N/A</v>
      </c>
      <c r="AN13" s="51" t="e">
        <f t="shared" si="21"/>
        <v>#N/A</v>
      </c>
      <c r="AO13" s="51" t="e">
        <f t="shared" si="7"/>
        <v>#N/A</v>
      </c>
      <c r="AP13" s="48" t="str">
        <f t="shared" si="22"/>
        <v>$AN$11:$AN$12</v>
      </c>
      <c r="AQ13" s="48" t="str">
        <f t="shared" si="23"/>
        <v>$AO$11:$AO$12</v>
      </c>
      <c r="AR13" s="50" t="e">
        <f t="shared" ca="1" si="8"/>
        <v>#N/A</v>
      </c>
      <c r="AS13" s="47"/>
      <c r="AT13" s="54" t="e">
        <f t="shared" si="24"/>
        <v>#N/A</v>
      </c>
      <c r="AU13" s="50" t="e">
        <v>#N/A</v>
      </c>
      <c r="AV13" s="55" t="e">
        <v>#N/A</v>
      </c>
      <c r="AW13" s="55">
        <f t="array" ref="AW13">SUM(IF(ISNUMBER(AX$6:AX13),1,0))+IF($A13&gt;Capas_AT1_C1,1,0)</f>
        <v>4</v>
      </c>
      <c r="AX13" s="50" t="e">
        <f t="shared" si="25"/>
        <v>#N/A</v>
      </c>
      <c r="AY13" s="51" t="e">
        <f t="shared" si="26"/>
        <v>#N/A</v>
      </c>
      <c r="AZ13" s="51" t="e">
        <f t="shared" si="9"/>
        <v>#N/A</v>
      </c>
      <c r="BA13" s="48" t="str">
        <f t="shared" si="27"/>
        <v>$AY$9:$AY$10</v>
      </c>
      <c r="BB13" s="48" t="str">
        <f t="shared" si="28"/>
        <v>$AZ$9:$AZ$10</v>
      </c>
      <c r="BC13" s="50" t="e">
        <f t="shared" ca="1" si="10"/>
        <v>#N/A</v>
      </c>
      <c r="BD13" s="47"/>
      <c r="BF13" s="43">
        <v>7</v>
      </c>
      <c r="BG13" s="15" t="str">
        <f t="shared" si="29"/>
        <v>Interior</v>
      </c>
      <c r="BH13" s="56" t="e">
        <v>#N/A</v>
      </c>
      <c r="BI13" s="325">
        <f>IF(BG13="Interior",$BN$23,IFERROR(IF(VLOOKUP(Seccion1!I30,Materiales[],3,FALSE)=Aux!$AP$10,IF(LEFT(VLOOKUP(Seccion1!I30,Materiales[],5,FALSE),1)="C",HLOOKUP(RIGHT(VLOOKUP(Seccion1!I30,Materiales[],5,FALSE),4),IF($BM$22=Aux!$AK$11,Aire_horizontal[#All],IF($BM$22=Aux!$AK$12,Aire_ascendente[#All],Aire_descendente[#All])),MATCH(ROUND(VLOOKUP(Seccion1!I30,Materiales[],7,FALSE)*1000,0),IF($BM$22=Aux!$AK$11,Aire_horizontal[Espesor],IF($BM$22=Aux!$AK$12,Aire_ascendente[Espesor],Aire_descendente[Espesor])),1)+1,FALSE),IF(VLOOKUP(Seccion1!I30,Materiales[],5,FALSE)=Aux!$AQ$29,IF(MID(VLOOKUP(Seccion1!I30,Materiales[],8,FALSE),1,2)="R=",VALUE(RIGHT(VLOOKUP(Seccion1!I30,Materiales[],8,FALSE),LEN(VLOOKUP(Seccion1!I30,Materiales[],8,FALSE))-2)),NA()),VLOOKUP(VLOOKUP(Seccion1!I30,Materiales[],5,FALSE),Aux!$AQ$26:$AR$29,2,FALSE))),BH13/VLOOKUP(Seccion1!I30,Materiales[],8,FALSE)),NA()))</f>
        <v>0.25</v>
      </c>
      <c r="BJ13" s="55" t="e">
        <v>#N/A</v>
      </c>
      <c r="BK13" s="51" t="e">
        <v>#N/A</v>
      </c>
      <c r="BL13" s="56" t="e">
        <f>IF(OR(BH13="",BH13="Interior"),NA(),SUM($BH$7:$BH13))</f>
        <v>#N/A</v>
      </c>
      <c r="BM13" s="48">
        <f>IF(BG13="",NA(),SUM($BI$6:$BI13))</f>
        <v>3.3933220912591899</v>
      </c>
      <c r="BN13" s="50" t="e">
        <v>#N/A</v>
      </c>
      <c r="BO13" s="52" t="e">
        <f>IF(BN13="",NA(),SUM($BN$6:$BN13))</f>
        <v>#N/A</v>
      </c>
      <c r="BP13" s="53">
        <v>19</v>
      </c>
      <c r="BQ13" s="52">
        <v>2196.1512432322252</v>
      </c>
      <c r="BR13" s="54" t="e">
        <f t="shared" si="30"/>
        <v>#N/A</v>
      </c>
      <c r="BS13" s="50" t="e">
        <v>#N/A</v>
      </c>
      <c r="BT13" s="55" t="e">
        <v>#N/A</v>
      </c>
      <c r="BU13" s="55">
        <f t="array" ref="BU13">SUM(IF(ISNUMBER(BV$6:BV13),1,0))+IF($BF13&gt;Capas_AT1_C2,1,0)</f>
        <v>3</v>
      </c>
      <c r="BV13" s="51" t="e">
        <f t="shared" si="31"/>
        <v>#N/A</v>
      </c>
      <c r="BW13" s="51" t="e">
        <f t="shared" si="32"/>
        <v>#N/A</v>
      </c>
      <c r="BX13" s="51" t="e">
        <f t="shared" si="33"/>
        <v>#N/A</v>
      </c>
      <c r="BY13" s="48" t="str">
        <f t="shared" si="34"/>
        <v>$BW$8:$BW$9</v>
      </c>
      <c r="BZ13" s="48" t="str">
        <f t="shared" si="35"/>
        <v>$BX$8:$BX$9</v>
      </c>
      <c r="CA13" s="50" t="e">
        <f t="shared" ca="1" si="36"/>
        <v>#N/A</v>
      </c>
      <c r="CB13" s="47"/>
      <c r="CC13" s="54" t="e">
        <f t="shared" si="37"/>
        <v>#N/A</v>
      </c>
      <c r="CD13" s="50" t="e">
        <v>#N/A</v>
      </c>
      <c r="CE13" s="55" t="e">
        <v>#N/A</v>
      </c>
      <c r="CF13" s="55">
        <f t="array" ref="CF13">SUM(IF(ISNUMBER(CG$6:CG13),1,0))+IF($BF13&gt;Capas_AT1_C2,1,0)</f>
        <v>3</v>
      </c>
      <c r="CG13" s="51" t="e">
        <f t="shared" si="38"/>
        <v>#N/A</v>
      </c>
      <c r="CH13" s="51" t="e">
        <f t="shared" si="39"/>
        <v>#N/A</v>
      </c>
      <c r="CI13" s="51" t="e">
        <f t="shared" si="40"/>
        <v>#N/A</v>
      </c>
      <c r="CJ13" s="48" t="str">
        <f t="shared" si="41"/>
        <v>$CH$8:$CH$9</v>
      </c>
      <c r="CK13" s="48" t="str">
        <f t="shared" si="42"/>
        <v>$CI$8:$CI$9</v>
      </c>
      <c r="CL13" s="50" t="e">
        <f t="shared" ca="1" si="43"/>
        <v>#N/A</v>
      </c>
      <c r="CM13" s="47"/>
      <c r="CN13" s="54" t="e">
        <f t="shared" si="44"/>
        <v>#N/A</v>
      </c>
      <c r="CO13" s="50" t="e">
        <v>#N/A</v>
      </c>
      <c r="CP13" s="55" t="e">
        <v>#N/A</v>
      </c>
      <c r="CQ13" s="55">
        <f t="array" ref="CQ13">SUM(IF(ISNUMBER(CR$6:CR13),1,0))+IF($BF13&gt;Capas_AT1_C2,1,0)</f>
        <v>3</v>
      </c>
      <c r="CR13" s="51" t="e">
        <f t="shared" si="45"/>
        <v>#N/A</v>
      </c>
      <c r="CS13" s="51" t="e">
        <f t="shared" si="46"/>
        <v>#N/A</v>
      </c>
      <c r="CT13" s="51" t="e">
        <f t="shared" si="47"/>
        <v>#N/A</v>
      </c>
      <c r="CU13" s="48" t="str">
        <f t="shared" si="48"/>
        <v>$CS$8:$CS$9</v>
      </c>
      <c r="CV13" s="48" t="str">
        <f t="shared" si="49"/>
        <v>$CT$8:$CT$9</v>
      </c>
      <c r="CW13" s="50" t="e">
        <f t="shared" ca="1" si="50"/>
        <v>#N/A</v>
      </c>
      <c r="CX13" s="47"/>
      <c r="CY13" s="54" t="e">
        <f t="shared" si="51"/>
        <v>#N/A</v>
      </c>
      <c r="CZ13" s="50" t="e">
        <v>#N/A</v>
      </c>
      <c r="DA13" s="55" t="e">
        <v>#N/A</v>
      </c>
      <c r="DB13" s="55">
        <f t="array" ref="DB13">SUM(IF(ISNUMBER(DC$6:DC13),1,0))+IF($BF13&gt;Capas_AT1_C2,1,0)</f>
        <v>4</v>
      </c>
      <c r="DC13" s="51" t="e">
        <f t="shared" si="52"/>
        <v>#N/A</v>
      </c>
      <c r="DD13" s="51" t="e">
        <f t="shared" si="53"/>
        <v>#N/A</v>
      </c>
      <c r="DE13" s="51" t="e">
        <f t="shared" si="54"/>
        <v>#N/A</v>
      </c>
      <c r="DF13" s="48" t="str">
        <f t="shared" si="55"/>
        <v>$DD$9:$DD$10</v>
      </c>
      <c r="DG13" s="48" t="str">
        <f t="shared" si="56"/>
        <v>$DE$9:$DE$10</v>
      </c>
      <c r="DH13" s="50" t="e">
        <f t="shared" ca="1" si="57"/>
        <v>#N/A</v>
      </c>
      <c r="DI13" s="47"/>
    </row>
    <row r="14" spans="1:113" x14ac:dyDescent="0.25">
      <c r="A14" s="43">
        <v>8</v>
      </c>
      <c r="B14" s="15" t="e">
        <f t="shared" si="11"/>
        <v>#N/A</v>
      </c>
      <c r="C14" s="56" t="e">
        <v>#N/A</v>
      </c>
      <c r="D14" s="325" t="e">
        <f>IF(B14="Interior",Rsi_H1,IFERROR(IF(VLOOKUP(Seccion1!$B31,Materiales[],3,FALSE)=Aux!$AP$10,IF(LEFT(VLOOKUP(Seccion1!$B31,Materiales[],5,FALSE),1)="C",HLOOKUP(RIGHT(VLOOKUP(Seccion1!$B31,Materiales[],5,FALSE),4),IF($H$22=Aux!$AK$11,Aire_horizontal[#All],IF($H$22=Aux!$AK$12,Aire_ascendente[#All],Aire_descendente[#All])),MATCH(ROUND(VLOOKUP(Seccion1!$B31,Materiales[],7,FALSE)*1000,0),IF($H$22=Aux!$AK$11,Aire_horizontal[Espesor],IF($H$22=Aux!$AK$12,Aire_ascendente[Espesor],Aire_descendente[Espesor])),1)+1,FALSE),IF(VLOOKUP(Seccion1!$B31,Materiales[],5,FALSE)=Aux!$AQ$29,IF(MID(VLOOKUP(Seccion1!$B31,Materiales[],8,FALSE),1,2)="R=",VALUE(RIGHT(VLOOKUP(Seccion1!$B31,Materiales[],8,FALSE),LEN(VLOOKUP(Seccion1!$B31,Materiales[],8,FALSE))-2)),NA()),VLOOKUP(VLOOKUP(Seccion1!$B31,Materiales[],5,FALSE),Aux!$AQ$26:$AR$29,2,FALSE))),C14/VLOOKUP(Seccion1!$B31,Materiales[],8,FALSE)),NA()))</f>
        <v>#N/A</v>
      </c>
      <c r="E14" s="55" t="e">
        <v>#N/A</v>
      </c>
      <c r="F14" s="51" t="e">
        <v>#N/A</v>
      </c>
      <c r="G14" s="56" t="e">
        <f>IF(OR(B14="",B14="Interior"),NA(),SUM($C$7:$C14))</f>
        <v>#N/A</v>
      </c>
      <c r="H14" s="48" t="e">
        <f>IF(B14="",NA(),SUM($D$6:$D14))</f>
        <v>#N/A</v>
      </c>
      <c r="I14" s="50" t="e">
        <v>#N/A</v>
      </c>
      <c r="J14" s="52" t="e">
        <f>IF(I14="",NA(),SUM($I$6:$I14))</f>
        <v>#N/A</v>
      </c>
      <c r="K14" s="53" t="e">
        <v>#N/A</v>
      </c>
      <c r="L14" s="47" t="e">
        <v>#N/A</v>
      </c>
      <c r="M14" s="54" t="e">
        <f t="shared" si="12"/>
        <v>#N/A</v>
      </c>
      <c r="N14" s="51" t="e">
        <v>#N/A</v>
      </c>
      <c r="O14" s="55" t="e">
        <v>#N/A</v>
      </c>
      <c r="P14" s="51" t="e">
        <f t="shared" ca="1" si="0"/>
        <v>#N/A</v>
      </c>
      <c r="Q14" s="47"/>
      <c r="R14" s="55">
        <f t="array" ref="R14">SUM(IF(ISNUMBER(S$6:S14),1,0))+IF($A14&gt;Capas_AT1_C1,1,0)</f>
        <v>6</v>
      </c>
      <c r="S14" s="51" t="e">
        <f t="shared" si="13"/>
        <v>#N/A</v>
      </c>
      <c r="T14" s="51" t="e">
        <f t="shared" si="1"/>
        <v>#N/A</v>
      </c>
      <c r="U14" s="51" t="e">
        <f t="shared" si="2"/>
        <v>#N/A</v>
      </c>
      <c r="V14" s="48" t="str">
        <f t="shared" si="3"/>
        <v>$T$11:$T$12</v>
      </c>
      <c r="W14" s="48" t="str">
        <f t="shared" si="4"/>
        <v>$U$11:$U$12</v>
      </c>
      <c r="X14" s="54" t="e">
        <f t="shared" si="14"/>
        <v>#N/A</v>
      </c>
      <c r="Y14" s="50" t="e">
        <v>#N/A</v>
      </c>
      <c r="Z14" s="55" t="e">
        <v>#N/A</v>
      </c>
      <c r="AA14" s="55">
        <f t="array" ref="AA14">SUM(IF(ISNUMBER(AB$6:AB14),1,0))+IF($A14&gt;Capas_AT1_C1,1,0)</f>
        <v>6</v>
      </c>
      <c r="AB14" s="51" t="e">
        <f t="shared" si="15"/>
        <v>#N/A</v>
      </c>
      <c r="AC14" s="51" t="e">
        <f t="shared" si="16"/>
        <v>#N/A</v>
      </c>
      <c r="AD14" s="51" t="e">
        <f t="shared" si="5"/>
        <v>#N/A</v>
      </c>
      <c r="AE14" s="48" t="str">
        <f t="shared" si="17"/>
        <v>$AC$11:$AC$12</v>
      </c>
      <c r="AF14" s="48" t="str">
        <f t="shared" si="18"/>
        <v>$AD$11:$AD$12</v>
      </c>
      <c r="AG14" s="50" t="e">
        <f t="shared" ca="1" si="6"/>
        <v>#N/A</v>
      </c>
      <c r="AH14" s="47"/>
      <c r="AI14" s="54" t="e">
        <f t="shared" si="19"/>
        <v>#N/A</v>
      </c>
      <c r="AJ14" s="50" t="e">
        <v>#N/A</v>
      </c>
      <c r="AK14" s="55" t="e">
        <v>#N/A</v>
      </c>
      <c r="AL14" s="55">
        <f t="array" ref="AL14">SUM(IF(ISNUMBER(AM$6:AM14),1,0))+IF($A14&gt;Capas_AT1_C1,1,0)</f>
        <v>6</v>
      </c>
      <c r="AM14" s="51" t="e">
        <f t="shared" si="20"/>
        <v>#N/A</v>
      </c>
      <c r="AN14" s="51" t="e">
        <f t="shared" si="21"/>
        <v>#N/A</v>
      </c>
      <c r="AO14" s="51" t="e">
        <f t="shared" si="7"/>
        <v>#N/A</v>
      </c>
      <c r="AP14" s="48" t="str">
        <f t="shared" si="22"/>
        <v>$AN$11:$AN$12</v>
      </c>
      <c r="AQ14" s="48" t="str">
        <f t="shared" si="23"/>
        <v>$AO$11:$AO$12</v>
      </c>
      <c r="AR14" s="50" t="e">
        <f t="shared" ca="1" si="8"/>
        <v>#N/A</v>
      </c>
      <c r="AS14" s="47"/>
      <c r="AT14" s="54" t="e">
        <f t="shared" si="24"/>
        <v>#N/A</v>
      </c>
      <c r="AU14" s="50" t="e">
        <v>#N/A</v>
      </c>
      <c r="AV14" s="55" t="e">
        <v>#N/A</v>
      </c>
      <c r="AW14" s="55">
        <f t="array" ref="AW14">SUM(IF(ISNUMBER(AX$6:AX14),1,0))+IF($A14&gt;Capas_AT1_C1,1,0)</f>
        <v>4</v>
      </c>
      <c r="AX14" s="50" t="e">
        <f t="shared" si="25"/>
        <v>#N/A</v>
      </c>
      <c r="AY14" s="51" t="e">
        <f t="shared" si="26"/>
        <v>#N/A</v>
      </c>
      <c r="AZ14" s="51" t="e">
        <f t="shared" si="9"/>
        <v>#N/A</v>
      </c>
      <c r="BA14" s="48" t="str">
        <f t="shared" si="27"/>
        <v>$AY$9:$AY$10</v>
      </c>
      <c r="BB14" s="48" t="str">
        <f t="shared" si="28"/>
        <v>$AZ$9:$AZ$10</v>
      </c>
      <c r="BC14" s="50" t="e">
        <f t="shared" ca="1" si="10"/>
        <v>#N/A</v>
      </c>
      <c r="BD14" s="47"/>
      <c r="BF14" s="43">
        <v>8</v>
      </c>
      <c r="BG14" s="15" t="e">
        <f t="shared" si="29"/>
        <v>#N/A</v>
      </c>
      <c r="BH14" s="56" t="e">
        <v>#N/A</v>
      </c>
      <c r="BI14" s="325" t="e">
        <f>IF(BG14="Interior",$BN$23,IFERROR(IF(VLOOKUP(Seccion1!I31,Materiales[],3,FALSE)=Aux!$AP$10,IF(LEFT(VLOOKUP(Seccion1!I31,Materiales[],5,FALSE),1)="C",HLOOKUP(RIGHT(VLOOKUP(Seccion1!I31,Materiales[],5,FALSE),4),IF($BM$22=Aux!$AK$11,Aire_horizontal[#All],IF($BM$22=Aux!$AK$12,Aire_ascendente[#All],Aire_descendente[#All])),MATCH(ROUND(VLOOKUP(Seccion1!I31,Materiales[],7,FALSE)*1000,0),IF($BM$22=Aux!$AK$11,Aire_horizontal[Espesor],IF($BM$22=Aux!$AK$12,Aire_ascendente[Espesor],Aire_descendente[Espesor])),1)+1,FALSE),IF(VLOOKUP(Seccion1!I31,Materiales[],5,FALSE)=Aux!$AQ$29,IF(MID(VLOOKUP(Seccion1!I31,Materiales[],8,FALSE),1,2)="R=",VALUE(RIGHT(VLOOKUP(Seccion1!I31,Materiales[],8,FALSE),LEN(VLOOKUP(Seccion1!I31,Materiales[],8,FALSE))-2)),NA()),VLOOKUP(VLOOKUP(Seccion1!I31,Materiales[],5,FALSE),Aux!$AQ$26:$AR$29,2,FALSE))),BH14/VLOOKUP(Seccion1!I31,Materiales[],8,FALSE)),NA()))</f>
        <v>#N/A</v>
      </c>
      <c r="BJ14" s="55" t="e">
        <v>#N/A</v>
      </c>
      <c r="BK14" s="51" t="e">
        <v>#N/A</v>
      </c>
      <c r="BL14" s="56" t="e">
        <f>IF(OR(BH14="",BH14="Interior"),NA(),SUM($BH$7:$BH14))</f>
        <v>#N/A</v>
      </c>
      <c r="BM14" s="48" t="e">
        <f>IF(BG14="",NA(),SUM($BI$6:$BI14))</f>
        <v>#N/A</v>
      </c>
      <c r="BN14" s="50" t="e">
        <v>#N/A</v>
      </c>
      <c r="BO14" s="52" t="e">
        <f>IF(BN14="",NA(),SUM($BN$6:$BN14))</f>
        <v>#N/A</v>
      </c>
      <c r="BP14" s="53" t="e">
        <v>#N/A</v>
      </c>
      <c r="BQ14" s="52" t="e">
        <v>#N/A</v>
      </c>
      <c r="BR14" s="54" t="e">
        <f t="shared" si="30"/>
        <v>#N/A</v>
      </c>
      <c r="BS14" s="50" t="e">
        <v>#N/A</v>
      </c>
      <c r="BT14" s="55" t="e">
        <v>#N/A</v>
      </c>
      <c r="BU14" s="55">
        <f t="array" ref="BU14">SUM(IF(ISNUMBER(BV$6:BV14),1,0))+IF($BF14&gt;Capas_AT1_C2,1,0)</f>
        <v>3</v>
      </c>
      <c r="BV14" s="51" t="e">
        <f t="shared" si="31"/>
        <v>#N/A</v>
      </c>
      <c r="BW14" s="51" t="e">
        <f t="shared" si="32"/>
        <v>#N/A</v>
      </c>
      <c r="BX14" s="51" t="e">
        <f t="shared" si="33"/>
        <v>#N/A</v>
      </c>
      <c r="BY14" s="48" t="str">
        <f t="shared" si="34"/>
        <v>$BW$8:$BW$9</v>
      </c>
      <c r="BZ14" s="48" t="str">
        <f t="shared" si="35"/>
        <v>$BX$8:$BX$9</v>
      </c>
      <c r="CA14" s="50" t="e">
        <f t="shared" ca="1" si="36"/>
        <v>#N/A</v>
      </c>
      <c r="CB14" s="47"/>
      <c r="CC14" s="54" t="e">
        <f t="shared" si="37"/>
        <v>#N/A</v>
      </c>
      <c r="CD14" s="50" t="e">
        <v>#N/A</v>
      </c>
      <c r="CE14" s="55" t="e">
        <v>#N/A</v>
      </c>
      <c r="CF14" s="55">
        <f t="array" ref="CF14">SUM(IF(ISNUMBER(CG$6:CG14),1,0))+IF($BF14&gt;Capas_AT1_C2,1,0)</f>
        <v>3</v>
      </c>
      <c r="CG14" s="51" t="e">
        <f t="shared" si="38"/>
        <v>#N/A</v>
      </c>
      <c r="CH14" s="51" t="e">
        <f t="shared" si="39"/>
        <v>#N/A</v>
      </c>
      <c r="CI14" s="51" t="e">
        <f t="shared" si="40"/>
        <v>#N/A</v>
      </c>
      <c r="CJ14" s="48" t="str">
        <f t="shared" si="41"/>
        <v>$CH$8:$CH$9</v>
      </c>
      <c r="CK14" s="48" t="str">
        <f t="shared" si="42"/>
        <v>$CI$8:$CI$9</v>
      </c>
      <c r="CL14" s="50" t="e">
        <f t="shared" ca="1" si="43"/>
        <v>#N/A</v>
      </c>
      <c r="CM14" s="47"/>
      <c r="CN14" s="54" t="e">
        <f t="shared" si="44"/>
        <v>#N/A</v>
      </c>
      <c r="CO14" s="50" t="e">
        <v>#N/A</v>
      </c>
      <c r="CP14" s="55" t="e">
        <v>#N/A</v>
      </c>
      <c r="CQ14" s="55">
        <f t="array" ref="CQ14">SUM(IF(ISNUMBER(CR$6:CR14),1,0))+IF($BF14&gt;Capas_AT1_C2,1,0)</f>
        <v>3</v>
      </c>
      <c r="CR14" s="51" t="e">
        <f t="shared" si="45"/>
        <v>#N/A</v>
      </c>
      <c r="CS14" s="51" t="e">
        <f t="shared" si="46"/>
        <v>#N/A</v>
      </c>
      <c r="CT14" s="51" t="e">
        <f t="shared" si="47"/>
        <v>#N/A</v>
      </c>
      <c r="CU14" s="48" t="str">
        <f t="shared" si="48"/>
        <v>$CS$8:$CS$9</v>
      </c>
      <c r="CV14" s="48" t="str">
        <f t="shared" si="49"/>
        <v>$CT$8:$CT$9</v>
      </c>
      <c r="CW14" s="50" t="e">
        <f t="shared" ca="1" si="50"/>
        <v>#N/A</v>
      </c>
      <c r="CX14" s="47"/>
      <c r="CY14" s="54" t="e">
        <f t="shared" si="51"/>
        <v>#N/A</v>
      </c>
      <c r="CZ14" s="50" t="e">
        <v>#N/A</v>
      </c>
      <c r="DA14" s="55" t="e">
        <v>#N/A</v>
      </c>
      <c r="DB14" s="55">
        <f t="array" ref="DB14">SUM(IF(ISNUMBER(DC$6:DC14),1,0))+IF($BF14&gt;Capas_AT1_C2,1,0)</f>
        <v>4</v>
      </c>
      <c r="DC14" s="51" t="e">
        <f t="shared" si="52"/>
        <v>#N/A</v>
      </c>
      <c r="DD14" s="51" t="e">
        <f t="shared" si="53"/>
        <v>#N/A</v>
      </c>
      <c r="DE14" s="51" t="e">
        <f t="shared" si="54"/>
        <v>#N/A</v>
      </c>
      <c r="DF14" s="48" t="str">
        <f t="shared" si="55"/>
        <v>$DD$9:$DD$10</v>
      </c>
      <c r="DG14" s="48" t="str">
        <f t="shared" si="56"/>
        <v>$DE$9:$DE$10</v>
      </c>
      <c r="DH14" s="50" t="e">
        <f t="shared" ca="1" si="57"/>
        <v>#N/A</v>
      </c>
      <c r="DI14" s="47"/>
    </row>
    <row r="15" spans="1:113" x14ac:dyDescent="0.25">
      <c r="A15" s="43">
        <v>9</v>
      </c>
      <c r="B15" s="15" t="e">
        <f t="shared" si="11"/>
        <v>#N/A</v>
      </c>
      <c r="C15" s="56" t="e">
        <v>#N/A</v>
      </c>
      <c r="D15" s="325" t="e">
        <f>IF(B15="Interior",Rsi_H1,IFERROR(IF(VLOOKUP(Seccion1!$B32,Materiales[],3,FALSE)=Aux!$AP$10,IF(LEFT(VLOOKUP(Seccion1!$B32,Materiales[],5,FALSE),1)="C",HLOOKUP(RIGHT(VLOOKUP(Seccion1!$B32,Materiales[],5,FALSE),4),IF($H$22=Aux!$AK$11,Aire_horizontal[#All],IF($H$22=Aux!$AK$12,Aire_ascendente[#All],Aire_descendente[#All])),MATCH(ROUND(VLOOKUP(Seccion1!$B32,Materiales[],7,FALSE)*1000,0),IF($H$22=Aux!$AK$11,Aire_horizontal[Espesor],IF($H$22=Aux!$AK$12,Aire_ascendente[Espesor],Aire_descendente[Espesor])),1)+1,FALSE),IF(VLOOKUP(Seccion1!$B32,Materiales[],5,FALSE)=Aux!$AQ$29,IF(MID(VLOOKUP(Seccion1!$B32,Materiales[],8,FALSE),1,2)="R=",VALUE(RIGHT(VLOOKUP(Seccion1!$B32,Materiales[],8,FALSE),LEN(VLOOKUP(Seccion1!$B32,Materiales[],8,FALSE))-2)),NA()),VLOOKUP(VLOOKUP(Seccion1!$B32,Materiales[],5,FALSE),Aux!$AQ$26:$AR$29,2,FALSE))),C15/VLOOKUP(Seccion1!$B32,Materiales[],8,FALSE)),NA()))</f>
        <v>#N/A</v>
      </c>
      <c r="E15" s="55" t="e">
        <v>#N/A</v>
      </c>
      <c r="F15" s="51" t="e">
        <v>#N/A</v>
      </c>
      <c r="G15" s="56" t="e">
        <f>IF(OR(B15="",B15="Interior"),NA(),SUM($C$7:$C15))</f>
        <v>#N/A</v>
      </c>
      <c r="H15" s="48" t="e">
        <f>IF(B15="",NA(),SUM($D$6:$D15))</f>
        <v>#N/A</v>
      </c>
      <c r="I15" s="50" t="e">
        <v>#N/A</v>
      </c>
      <c r="J15" s="52" t="e">
        <f>IF(I15="",NA(),SUM($I$6:$I15))</f>
        <v>#N/A</v>
      </c>
      <c r="K15" s="53" t="e">
        <v>#N/A</v>
      </c>
      <c r="L15" s="47" t="e">
        <v>#N/A</v>
      </c>
      <c r="M15" s="54" t="e">
        <f t="shared" si="12"/>
        <v>#N/A</v>
      </c>
      <c r="N15" s="51" t="e">
        <v>#N/A</v>
      </c>
      <c r="O15" s="55" t="e">
        <v>#N/A</v>
      </c>
      <c r="P15" s="51" t="e">
        <f t="shared" ca="1" si="0"/>
        <v>#N/A</v>
      </c>
      <c r="Q15" s="47"/>
      <c r="R15" s="55">
        <f t="array" ref="R15">SUM(IF(ISNUMBER(S$6:S15),1,0))+IF($A15&gt;Capas_AT1_C1,1,0)</f>
        <v>6</v>
      </c>
      <c r="S15" s="51" t="e">
        <f t="shared" si="13"/>
        <v>#N/A</v>
      </c>
      <c r="T15" s="51" t="e">
        <f t="shared" si="1"/>
        <v>#N/A</v>
      </c>
      <c r="U15" s="51" t="e">
        <f t="shared" si="2"/>
        <v>#N/A</v>
      </c>
      <c r="V15" s="48" t="str">
        <f t="shared" si="3"/>
        <v>$T$11:$T$12</v>
      </c>
      <c r="W15" s="48" t="str">
        <f t="shared" si="4"/>
        <v>$U$11:$U$12</v>
      </c>
      <c r="X15" s="54" t="e">
        <f t="shared" si="14"/>
        <v>#N/A</v>
      </c>
      <c r="Y15" s="50" t="e">
        <v>#N/A</v>
      </c>
      <c r="Z15" s="55" t="e">
        <v>#N/A</v>
      </c>
      <c r="AA15" s="55">
        <f t="array" ref="AA15">SUM(IF(ISNUMBER(AB$6:AB15),1,0))+IF($A15&gt;Capas_AT1_C1,1,0)</f>
        <v>6</v>
      </c>
      <c r="AB15" s="51" t="e">
        <f t="shared" si="15"/>
        <v>#N/A</v>
      </c>
      <c r="AC15" s="51" t="e">
        <f t="shared" si="16"/>
        <v>#N/A</v>
      </c>
      <c r="AD15" s="51" t="e">
        <f t="shared" si="5"/>
        <v>#N/A</v>
      </c>
      <c r="AE15" s="48" t="str">
        <f t="shared" si="17"/>
        <v>$AC$11:$AC$12</v>
      </c>
      <c r="AF15" s="48" t="str">
        <f t="shared" si="18"/>
        <v>$AD$11:$AD$12</v>
      </c>
      <c r="AG15" s="50" t="e">
        <f t="shared" ca="1" si="6"/>
        <v>#N/A</v>
      </c>
      <c r="AH15" s="47"/>
      <c r="AI15" s="54" t="e">
        <f t="shared" si="19"/>
        <v>#N/A</v>
      </c>
      <c r="AJ15" s="50" t="e">
        <v>#N/A</v>
      </c>
      <c r="AK15" s="55" t="e">
        <v>#N/A</v>
      </c>
      <c r="AL15" s="55">
        <f t="array" ref="AL15">SUM(IF(ISNUMBER(AM$6:AM15),1,0))+IF($A15&gt;Capas_AT1_C1,1,0)</f>
        <v>6</v>
      </c>
      <c r="AM15" s="51" t="e">
        <f t="shared" si="20"/>
        <v>#N/A</v>
      </c>
      <c r="AN15" s="51" t="e">
        <f t="shared" si="21"/>
        <v>#N/A</v>
      </c>
      <c r="AO15" s="51" t="e">
        <f t="shared" si="7"/>
        <v>#N/A</v>
      </c>
      <c r="AP15" s="48" t="str">
        <f t="shared" si="22"/>
        <v>$AN$11:$AN$12</v>
      </c>
      <c r="AQ15" s="48" t="str">
        <f t="shared" si="23"/>
        <v>$AO$11:$AO$12</v>
      </c>
      <c r="AR15" s="50" t="e">
        <f t="shared" ca="1" si="8"/>
        <v>#N/A</v>
      </c>
      <c r="AS15" s="47"/>
      <c r="AT15" s="54" t="e">
        <f t="shared" si="24"/>
        <v>#N/A</v>
      </c>
      <c r="AU15" s="50" t="e">
        <v>#N/A</v>
      </c>
      <c r="AV15" s="55" t="e">
        <v>#N/A</v>
      </c>
      <c r="AW15" s="55">
        <f t="array" ref="AW15">SUM(IF(ISNUMBER(AX$6:AX15),1,0))+IF($A15&gt;Capas_AT1_C1,1,0)</f>
        <v>4</v>
      </c>
      <c r="AX15" s="50" t="e">
        <f t="shared" si="25"/>
        <v>#N/A</v>
      </c>
      <c r="AY15" s="51" t="e">
        <f t="shared" si="26"/>
        <v>#N/A</v>
      </c>
      <c r="AZ15" s="51" t="e">
        <f t="shared" si="9"/>
        <v>#N/A</v>
      </c>
      <c r="BA15" s="48" t="str">
        <f t="shared" si="27"/>
        <v>$AY$9:$AY$10</v>
      </c>
      <c r="BB15" s="48" t="str">
        <f t="shared" si="28"/>
        <v>$AZ$9:$AZ$10</v>
      </c>
      <c r="BC15" s="50" t="e">
        <f t="shared" ca="1" si="10"/>
        <v>#N/A</v>
      </c>
      <c r="BD15" s="47"/>
      <c r="BF15" s="43">
        <v>9</v>
      </c>
      <c r="BG15" s="15" t="e">
        <f t="shared" si="29"/>
        <v>#N/A</v>
      </c>
      <c r="BH15" s="56" t="e">
        <v>#N/A</v>
      </c>
      <c r="BI15" s="325" t="e">
        <f>IF(BG15="Interior",$BN$23,IFERROR(IF(VLOOKUP(Seccion1!I32,Materiales[],3,FALSE)=Aux!$AP$10,IF(LEFT(VLOOKUP(Seccion1!I32,Materiales[],5,FALSE),1)="C",HLOOKUP(RIGHT(VLOOKUP(Seccion1!I32,Materiales[],5,FALSE),4),IF($BM$22=Aux!$AK$11,Aire_horizontal[#All],IF($BM$22=Aux!$AK$12,Aire_ascendente[#All],Aire_descendente[#All])),MATCH(ROUND(VLOOKUP(Seccion1!I32,Materiales[],7,FALSE)*1000,0),IF($BM$22=Aux!$AK$11,Aire_horizontal[Espesor],IF($BM$22=Aux!$AK$12,Aire_ascendente[Espesor],Aire_descendente[Espesor])),1)+1,FALSE),IF(VLOOKUP(Seccion1!I32,Materiales[],5,FALSE)=Aux!$AQ$29,IF(MID(VLOOKUP(Seccion1!I32,Materiales[],8,FALSE),1,2)="R=",VALUE(RIGHT(VLOOKUP(Seccion1!I32,Materiales[],8,FALSE),LEN(VLOOKUP(Seccion1!I32,Materiales[],8,FALSE))-2)),NA()),VLOOKUP(VLOOKUP(Seccion1!I32,Materiales[],5,FALSE),Aux!$AQ$26:$AR$29,2,FALSE))),BH15/VLOOKUP(Seccion1!I32,Materiales[],8,FALSE)),NA()))</f>
        <v>#N/A</v>
      </c>
      <c r="BJ15" s="55" t="e">
        <v>#N/A</v>
      </c>
      <c r="BK15" s="51" t="e">
        <v>#N/A</v>
      </c>
      <c r="BL15" s="56" t="e">
        <f>IF(OR(BH15="",BH15="Interior"),NA(),SUM($BH$7:$BH15))</f>
        <v>#N/A</v>
      </c>
      <c r="BM15" s="48" t="e">
        <f>IF(BG15="",NA(),SUM($BI$6:$BI15))</f>
        <v>#N/A</v>
      </c>
      <c r="BN15" s="50" t="e">
        <v>#N/A</v>
      </c>
      <c r="BO15" s="52" t="e">
        <f>IF(BN15="",NA(),SUM($BN$6:$BN15))</f>
        <v>#N/A</v>
      </c>
      <c r="BP15" s="53" t="e">
        <v>#N/A</v>
      </c>
      <c r="BQ15" s="52" t="e">
        <v>#N/A</v>
      </c>
      <c r="BR15" s="54" t="e">
        <f t="shared" si="30"/>
        <v>#N/A</v>
      </c>
      <c r="BS15" s="50" t="e">
        <v>#N/A</v>
      </c>
      <c r="BT15" s="55" t="e">
        <v>#N/A</v>
      </c>
      <c r="BU15" s="55">
        <f t="array" ref="BU15">SUM(IF(ISNUMBER(BV$6:BV15),1,0))+IF($BF15&gt;Capas_AT1_C2,1,0)</f>
        <v>3</v>
      </c>
      <c r="BV15" s="51" t="e">
        <f t="shared" si="31"/>
        <v>#N/A</v>
      </c>
      <c r="BW15" s="51" t="e">
        <f t="shared" si="32"/>
        <v>#N/A</v>
      </c>
      <c r="BX15" s="51" t="e">
        <f t="shared" si="33"/>
        <v>#N/A</v>
      </c>
      <c r="BY15" s="48" t="str">
        <f t="shared" si="34"/>
        <v>$BW$8:$BW$9</v>
      </c>
      <c r="BZ15" s="48" t="str">
        <f t="shared" si="35"/>
        <v>$BX$8:$BX$9</v>
      </c>
      <c r="CA15" s="50" t="e">
        <f t="shared" ca="1" si="36"/>
        <v>#N/A</v>
      </c>
      <c r="CB15" s="47"/>
      <c r="CC15" s="54" t="e">
        <f t="shared" si="37"/>
        <v>#N/A</v>
      </c>
      <c r="CD15" s="50" t="e">
        <v>#N/A</v>
      </c>
      <c r="CE15" s="55" t="e">
        <v>#N/A</v>
      </c>
      <c r="CF15" s="55">
        <f t="array" ref="CF15">SUM(IF(ISNUMBER(CG$6:CG15),1,0))+IF($BF15&gt;Capas_AT1_C2,1,0)</f>
        <v>3</v>
      </c>
      <c r="CG15" s="51" t="e">
        <f t="shared" si="38"/>
        <v>#N/A</v>
      </c>
      <c r="CH15" s="51" t="e">
        <f t="shared" si="39"/>
        <v>#N/A</v>
      </c>
      <c r="CI15" s="51" t="e">
        <f t="shared" si="40"/>
        <v>#N/A</v>
      </c>
      <c r="CJ15" s="48" t="str">
        <f t="shared" si="41"/>
        <v>$CH$8:$CH$9</v>
      </c>
      <c r="CK15" s="48" t="str">
        <f t="shared" si="42"/>
        <v>$CI$8:$CI$9</v>
      </c>
      <c r="CL15" s="50" t="e">
        <f t="shared" ca="1" si="43"/>
        <v>#N/A</v>
      </c>
      <c r="CM15" s="47"/>
      <c r="CN15" s="54" t="e">
        <f t="shared" si="44"/>
        <v>#N/A</v>
      </c>
      <c r="CO15" s="50" t="e">
        <v>#N/A</v>
      </c>
      <c r="CP15" s="55" t="e">
        <v>#N/A</v>
      </c>
      <c r="CQ15" s="55">
        <f t="array" ref="CQ15">SUM(IF(ISNUMBER(CR$6:CR15),1,0))+IF($BF15&gt;Capas_AT1_C2,1,0)</f>
        <v>3</v>
      </c>
      <c r="CR15" s="51" t="e">
        <f t="shared" si="45"/>
        <v>#N/A</v>
      </c>
      <c r="CS15" s="51" t="e">
        <f t="shared" si="46"/>
        <v>#N/A</v>
      </c>
      <c r="CT15" s="51" t="e">
        <f t="shared" si="47"/>
        <v>#N/A</v>
      </c>
      <c r="CU15" s="48" t="str">
        <f t="shared" si="48"/>
        <v>$CS$8:$CS$9</v>
      </c>
      <c r="CV15" s="48" t="str">
        <f t="shared" si="49"/>
        <v>$CT$8:$CT$9</v>
      </c>
      <c r="CW15" s="50" t="e">
        <f t="shared" ca="1" si="50"/>
        <v>#N/A</v>
      </c>
      <c r="CX15" s="47"/>
      <c r="CY15" s="54" t="e">
        <f t="shared" si="51"/>
        <v>#N/A</v>
      </c>
      <c r="CZ15" s="50" t="e">
        <v>#N/A</v>
      </c>
      <c r="DA15" s="55" t="e">
        <v>#N/A</v>
      </c>
      <c r="DB15" s="55">
        <f t="array" ref="DB15">SUM(IF(ISNUMBER(DC$6:DC15),1,0))+IF($BF15&gt;Capas_AT1_C2,1,0)</f>
        <v>4</v>
      </c>
      <c r="DC15" s="51" t="e">
        <f t="shared" si="52"/>
        <v>#N/A</v>
      </c>
      <c r="DD15" s="51" t="e">
        <f t="shared" si="53"/>
        <v>#N/A</v>
      </c>
      <c r="DE15" s="51" t="e">
        <f t="shared" si="54"/>
        <v>#N/A</v>
      </c>
      <c r="DF15" s="48" t="str">
        <f t="shared" si="55"/>
        <v>$DD$9:$DD$10</v>
      </c>
      <c r="DG15" s="48" t="str">
        <f t="shared" si="56"/>
        <v>$DE$9:$DE$10</v>
      </c>
      <c r="DH15" s="50" t="e">
        <f t="shared" ca="1" si="57"/>
        <v>#N/A</v>
      </c>
      <c r="DI15" s="47"/>
    </row>
    <row r="16" spans="1:113" x14ac:dyDescent="0.25">
      <c r="A16" s="43">
        <v>10</v>
      </c>
      <c r="B16" s="15" t="e">
        <f t="shared" si="11"/>
        <v>#N/A</v>
      </c>
      <c r="C16" s="56" t="e">
        <v>#N/A</v>
      </c>
      <c r="D16" s="325" t="e">
        <f>IF(B16="Interior",Rsi_H1,IFERROR(IF(VLOOKUP(Seccion1!$B33,Materiales[],3,FALSE)=Aux!$AP$10,IF(LEFT(VLOOKUP(Seccion1!$B33,Materiales[],5,FALSE),1)="C",HLOOKUP(RIGHT(VLOOKUP(Seccion1!$B33,Materiales[],5,FALSE),4),IF($H$22=Aux!$AK$11,Aire_horizontal[#All],IF($H$22=Aux!$AK$12,Aire_ascendente[#All],Aire_descendente[#All])),MATCH(ROUND(VLOOKUP(Seccion1!$B33,Materiales[],7,FALSE)*1000,0),IF($H$22=Aux!$AK$11,Aire_horizontal[Espesor],IF($H$22=Aux!$AK$12,Aire_ascendente[Espesor],Aire_descendente[Espesor])),1)+1,FALSE),IF(VLOOKUP(Seccion1!$B33,Materiales[],5,FALSE)=Aux!$AQ$29,IF(MID(VLOOKUP(Seccion1!$B33,Materiales[],8,FALSE),1,2)="R=",VALUE(RIGHT(VLOOKUP(Seccion1!$B33,Materiales[],8,FALSE),LEN(VLOOKUP(Seccion1!$B33,Materiales[],8,FALSE))-2)),NA()),VLOOKUP(VLOOKUP(Seccion1!$B33,Materiales[],5,FALSE),Aux!$AQ$26:$AR$29,2,FALSE))),C16/VLOOKUP(Seccion1!$B33,Materiales[],8,FALSE)),NA()))</f>
        <v>#N/A</v>
      </c>
      <c r="E16" s="55" t="e">
        <v>#N/A</v>
      </c>
      <c r="F16" s="51" t="e">
        <v>#N/A</v>
      </c>
      <c r="G16" s="56" t="e">
        <f>IF(OR(B16="",B16="Interior"),NA(),SUM($C$7:$C16))</f>
        <v>#N/A</v>
      </c>
      <c r="H16" s="48" t="e">
        <f>IF(B16="",NA(),SUM($D$6:$D16))</f>
        <v>#N/A</v>
      </c>
      <c r="I16" s="50" t="e">
        <v>#N/A</v>
      </c>
      <c r="J16" s="52" t="e">
        <f>IF(I16="",NA(),SUM($I$6:$I16))</f>
        <v>#N/A</v>
      </c>
      <c r="K16" s="53" t="e">
        <v>#N/A</v>
      </c>
      <c r="L16" s="47" t="e">
        <v>#N/A</v>
      </c>
      <c r="M16" s="54" t="e">
        <f t="shared" si="12"/>
        <v>#N/A</v>
      </c>
      <c r="N16" s="51" t="e">
        <v>#N/A</v>
      </c>
      <c r="O16" s="55" t="e">
        <v>#N/A</v>
      </c>
      <c r="P16" s="51" t="e">
        <f t="shared" ca="1" si="0"/>
        <v>#N/A</v>
      </c>
      <c r="Q16" s="47"/>
      <c r="R16" s="55">
        <f t="array" ref="R16">SUM(IF(ISNUMBER(S$6:S16),1,0))+IF($A16&gt;Capas_AT1_C1,1,0)</f>
        <v>6</v>
      </c>
      <c r="S16" s="51" t="e">
        <f t="shared" si="13"/>
        <v>#N/A</v>
      </c>
      <c r="T16" s="51" t="e">
        <f t="shared" si="1"/>
        <v>#N/A</v>
      </c>
      <c r="U16" s="51" t="e">
        <f t="shared" si="2"/>
        <v>#N/A</v>
      </c>
      <c r="V16" s="48" t="str">
        <f t="shared" si="3"/>
        <v>$T$11:$T$12</v>
      </c>
      <c r="W16" s="48" t="str">
        <f t="shared" si="4"/>
        <v>$U$11:$U$12</v>
      </c>
      <c r="X16" s="54" t="e">
        <f t="shared" si="14"/>
        <v>#N/A</v>
      </c>
      <c r="Y16" s="50" t="e">
        <v>#N/A</v>
      </c>
      <c r="Z16" s="55" t="e">
        <v>#N/A</v>
      </c>
      <c r="AA16" s="55">
        <f t="array" ref="AA16">SUM(IF(ISNUMBER(AB$6:AB16),1,0))+IF($A16&gt;Capas_AT1_C1,1,0)</f>
        <v>6</v>
      </c>
      <c r="AB16" s="51" t="e">
        <f t="shared" si="15"/>
        <v>#N/A</v>
      </c>
      <c r="AC16" s="51" t="e">
        <f t="shared" si="16"/>
        <v>#N/A</v>
      </c>
      <c r="AD16" s="51" t="e">
        <f t="shared" si="5"/>
        <v>#N/A</v>
      </c>
      <c r="AE16" s="48" t="str">
        <f t="shared" si="17"/>
        <v>$AC$11:$AC$12</v>
      </c>
      <c r="AF16" s="48" t="str">
        <f t="shared" si="18"/>
        <v>$AD$11:$AD$12</v>
      </c>
      <c r="AG16" s="50" t="e">
        <f t="shared" ca="1" si="6"/>
        <v>#N/A</v>
      </c>
      <c r="AH16" s="47"/>
      <c r="AI16" s="54" t="e">
        <f t="shared" si="19"/>
        <v>#N/A</v>
      </c>
      <c r="AJ16" s="50" t="e">
        <v>#N/A</v>
      </c>
      <c r="AK16" s="55" t="e">
        <v>#N/A</v>
      </c>
      <c r="AL16" s="55">
        <f t="array" ref="AL16">SUM(IF(ISNUMBER(AM$6:AM16),1,0))+IF($A16&gt;Capas_AT1_C1,1,0)</f>
        <v>6</v>
      </c>
      <c r="AM16" s="51" t="e">
        <f t="shared" si="20"/>
        <v>#N/A</v>
      </c>
      <c r="AN16" s="51" t="e">
        <f t="shared" si="21"/>
        <v>#N/A</v>
      </c>
      <c r="AO16" s="51" t="e">
        <f t="shared" si="7"/>
        <v>#N/A</v>
      </c>
      <c r="AP16" s="48" t="str">
        <f t="shared" si="22"/>
        <v>$AN$11:$AN$12</v>
      </c>
      <c r="AQ16" s="48" t="str">
        <f t="shared" si="23"/>
        <v>$AO$11:$AO$12</v>
      </c>
      <c r="AR16" s="50" t="e">
        <f t="shared" ca="1" si="8"/>
        <v>#N/A</v>
      </c>
      <c r="AS16" s="47"/>
      <c r="AT16" s="54" t="e">
        <f t="shared" si="24"/>
        <v>#N/A</v>
      </c>
      <c r="AU16" s="50" t="e">
        <v>#N/A</v>
      </c>
      <c r="AV16" s="55" t="e">
        <v>#N/A</v>
      </c>
      <c r="AW16" s="55">
        <f t="array" ref="AW16">SUM(IF(ISNUMBER(AX$6:AX16),1,0))+IF($A16&gt;Capas_AT1_C1,1,0)</f>
        <v>4</v>
      </c>
      <c r="AX16" s="50" t="e">
        <f t="shared" si="25"/>
        <v>#N/A</v>
      </c>
      <c r="AY16" s="51" t="e">
        <f t="shared" si="26"/>
        <v>#N/A</v>
      </c>
      <c r="AZ16" s="51" t="e">
        <f t="shared" si="9"/>
        <v>#N/A</v>
      </c>
      <c r="BA16" s="48" t="str">
        <f t="shared" si="27"/>
        <v>$AY$9:$AY$10</v>
      </c>
      <c r="BB16" s="48" t="str">
        <f t="shared" si="28"/>
        <v>$AZ$9:$AZ$10</v>
      </c>
      <c r="BC16" s="50" t="e">
        <f t="shared" ca="1" si="10"/>
        <v>#N/A</v>
      </c>
      <c r="BD16" s="47"/>
      <c r="BF16" s="43">
        <v>10</v>
      </c>
      <c r="BG16" s="15" t="e">
        <f t="shared" si="29"/>
        <v>#N/A</v>
      </c>
      <c r="BH16" s="56" t="e">
        <v>#N/A</v>
      </c>
      <c r="BI16" s="325" t="e">
        <f>IF(BG16="Interior",$BN$23,IFERROR(IF(VLOOKUP(Seccion1!I33,Materiales[],3,FALSE)=Aux!$AP$10,IF(LEFT(VLOOKUP(Seccion1!I33,Materiales[],5,FALSE),1)="C",HLOOKUP(RIGHT(VLOOKUP(Seccion1!I33,Materiales[],5,FALSE),4),IF($BM$22=Aux!$AK$11,Aire_horizontal[#All],IF($BM$22=Aux!$AK$12,Aire_ascendente[#All],Aire_descendente[#All])),MATCH(ROUND(VLOOKUP(Seccion1!I33,Materiales[],7,FALSE)*1000,0),IF($BM$22=Aux!$AK$11,Aire_horizontal[Espesor],IF($BM$22=Aux!$AK$12,Aire_ascendente[Espesor],Aire_descendente[Espesor])),1)+1,FALSE),IF(VLOOKUP(Seccion1!I33,Materiales[],5,FALSE)=Aux!$AQ$29,IF(MID(VLOOKUP(Seccion1!I33,Materiales[],8,FALSE),1,2)="R=",VALUE(RIGHT(VLOOKUP(Seccion1!I33,Materiales[],8,FALSE),LEN(VLOOKUP(Seccion1!I33,Materiales[],8,FALSE))-2)),NA()),VLOOKUP(VLOOKUP(Seccion1!I33,Materiales[],5,FALSE),Aux!$AQ$26:$AR$29,2,FALSE))),BH16/VLOOKUP(Seccion1!I33,Materiales[],8,FALSE)),NA()))</f>
        <v>#N/A</v>
      </c>
      <c r="BJ16" s="55" t="e">
        <v>#N/A</v>
      </c>
      <c r="BK16" s="51" t="e">
        <v>#N/A</v>
      </c>
      <c r="BL16" s="56" t="e">
        <f>IF(OR(BH16="",BH16="Interior"),NA(),SUM($BH$7:$BH16))</f>
        <v>#N/A</v>
      </c>
      <c r="BM16" s="48" t="e">
        <f>IF(BG16="",NA(),SUM($BI$6:$BI16))</f>
        <v>#N/A</v>
      </c>
      <c r="BN16" s="50" t="e">
        <v>#N/A</v>
      </c>
      <c r="BO16" s="52" t="e">
        <f>IF(BN16="",NA(),SUM($BN$6:$BN16))</f>
        <v>#N/A</v>
      </c>
      <c r="BP16" s="53" t="e">
        <v>#N/A</v>
      </c>
      <c r="BQ16" s="52" t="e">
        <v>#N/A</v>
      </c>
      <c r="BR16" s="54" t="e">
        <f t="shared" si="30"/>
        <v>#N/A</v>
      </c>
      <c r="BS16" s="50" t="e">
        <v>#N/A</v>
      </c>
      <c r="BT16" s="55" t="e">
        <v>#N/A</v>
      </c>
      <c r="BU16" s="55">
        <f t="array" ref="BU16">SUM(IF(ISNUMBER(BV$6:BV16),1,0))+IF($BF16&gt;Capas_AT1_C2,1,0)</f>
        <v>3</v>
      </c>
      <c r="BV16" s="51" t="e">
        <f t="shared" si="31"/>
        <v>#N/A</v>
      </c>
      <c r="BW16" s="51" t="e">
        <f t="shared" si="32"/>
        <v>#N/A</v>
      </c>
      <c r="BX16" s="51" t="e">
        <f t="shared" si="33"/>
        <v>#N/A</v>
      </c>
      <c r="BY16" s="48" t="str">
        <f t="shared" si="34"/>
        <v>$BW$8:$BW$9</v>
      </c>
      <c r="BZ16" s="48" t="str">
        <f t="shared" si="35"/>
        <v>$BX$8:$BX$9</v>
      </c>
      <c r="CA16" s="50" t="e">
        <f t="shared" ca="1" si="36"/>
        <v>#N/A</v>
      </c>
      <c r="CB16" s="47"/>
      <c r="CC16" s="54" t="e">
        <f t="shared" si="37"/>
        <v>#N/A</v>
      </c>
      <c r="CD16" s="50" t="e">
        <v>#N/A</v>
      </c>
      <c r="CE16" s="55" t="e">
        <v>#N/A</v>
      </c>
      <c r="CF16" s="55">
        <f t="array" ref="CF16">SUM(IF(ISNUMBER(CG$6:CG16),1,0))+IF($BF16&gt;Capas_AT1_C2,1,0)</f>
        <v>3</v>
      </c>
      <c r="CG16" s="51" t="e">
        <f t="shared" si="38"/>
        <v>#N/A</v>
      </c>
      <c r="CH16" s="51" t="e">
        <f t="shared" si="39"/>
        <v>#N/A</v>
      </c>
      <c r="CI16" s="51" t="e">
        <f t="shared" si="40"/>
        <v>#N/A</v>
      </c>
      <c r="CJ16" s="48" t="str">
        <f t="shared" si="41"/>
        <v>$CH$8:$CH$9</v>
      </c>
      <c r="CK16" s="48" t="str">
        <f t="shared" si="42"/>
        <v>$CI$8:$CI$9</v>
      </c>
      <c r="CL16" s="50" t="e">
        <f t="shared" ca="1" si="43"/>
        <v>#N/A</v>
      </c>
      <c r="CM16" s="47"/>
      <c r="CN16" s="54" t="e">
        <f t="shared" si="44"/>
        <v>#N/A</v>
      </c>
      <c r="CO16" s="50" t="e">
        <v>#N/A</v>
      </c>
      <c r="CP16" s="55" t="e">
        <v>#N/A</v>
      </c>
      <c r="CQ16" s="55">
        <f t="array" ref="CQ16">SUM(IF(ISNUMBER(CR$6:CR16),1,0))+IF($BF16&gt;Capas_AT1_C2,1,0)</f>
        <v>3</v>
      </c>
      <c r="CR16" s="51" t="e">
        <f t="shared" si="45"/>
        <v>#N/A</v>
      </c>
      <c r="CS16" s="51" t="e">
        <f t="shared" si="46"/>
        <v>#N/A</v>
      </c>
      <c r="CT16" s="51" t="e">
        <f t="shared" si="47"/>
        <v>#N/A</v>
      </c>
      <c r="CU16" s="48" t="str">
        <f t="shared" si="48"/>
        <v>$CS$8:$CS$9</v>
      </c>
      <c r="CV16" s="48" t="str">
        <f t="shared" si="49"/>
        <v>$CT$8:$CT$9</v>
      </c>
      <c r="CW16" s="50" t="e">
        <f t="shared" ca="1" si="50"/>
        <v>#N/A</v>
      </c>
      <c r="CX16" s="47"/>
      <c r="CY16" s="54" t="e">
        <f t="shared" si="51"/>
        <v>#N/A</v>
      </c>
      <c r="CZ16" s="50" t="e">
        <v>#N/A</v>
      </c>
      <c r="DA16" s="55" t="e">
        <v>#N/A</v>
      </c>
      <c r="DB16" s="55">
        <f t="array" ref="DB16">SUM(IF(ISNUMBER(DC$6:DC16),1,0))+IF($BF16&gt;Capas_AT1_C2,1,0)</f>
        <v>4</v>
      </c>
      <c r="DC16" s="51" t="e">
        <f t="shared" si="52"/>
        <v>#N/A</v>
      </c>
      <c r="DD16" s="51" t="e">
        <f t="shared" si="53"/>
        <v>#N/A</v>
      </c>
      <c r="DE16" s="51" t="e">
        <f t="shared" si="54"/>
        <v>#N/A</v>
      </c>
      <c r="DF16" s="48" t="str">
        <f t="shared" si="55"/>
        <v>$DD$9:$DD$10</v>
      </c>
      <c r="DG16" s="48" t="str">
        <f t="shared" si="56"/>
        <v>$DE$9:$DE$10</v>
      </c>
      <c r="DH16" s="50" t="e">
        <f t="shared" ca="1" si="57"/>
        <v>#N/A</v>
      </c>
      <c r="DI16" s="47"/>
    </row>
    <row r="17" spans="1:113" x14ac:dyDescent="0.25">
      <c r="A17" s="43">
        <v>11</v>
      </c>
      <c r="B17" s="15" t="e">
        <f t="shared" si="11"/>
        <v>#N/A</v>
      </c>
      <c r="C17" s="56" t="e">
        <v>#N/A</v>
      </c>
      <c r="D17" s="325" t="e">
        <f>IF(B17="Interior",Rsi_H1,IFERROR(IF(VLOOKUP(Seccion1!$B34,Materiales[],3,FALSE)=Aux!$AP$10,IF(LEFT(VLOOKUP(Seccion1!$B34,Materiales[],5,FALSE),1)="C",HLOOKUP(RIGHT(VLOOKUP(Seccion1!$B34,Materiales[],5,FALSE),4),IF($H$22=Aux!$AK$11,Aire_horizontal[#All],IF($H$22=Aux!$AK$12,Aire_ascendente[#All],Aire_descendente[#All])),MATCH(ROUND(VLOOKUP(Seccion1!$B34,Materiales[],7,FALSE)*1000,0),IF($H$22=Aux!$AK$11,Aire_horizontal[Espesor],IF($H$22=Aux!$AK$12,Aire_ascendente[Espesor],Aire_descendente[Espesor])),1)+1,FALSE),IF(VLOOKUP(Seccion1!$B34,Materiales[],5,FALSE)=Aux!$AQ$29,IF(MID(VLOOKUP(Seccion1!$B34,Materiales[],8,FALSE),1,2)="R=",VALUE(RIGHT(VLOOKUP(Seccion1!$B34,Materiales[],8,FALSE),LEN(VLOOKUP(Seccion1!$B34,Materiales[],8,FALSE))-2)),NA()),VLOOKUP(VLOOKUP(Seccion1!$B34,Materiales[],5,FALSE),Aux!$AQ$26:$AR$29,2,FALSE))),C17/VLOOKUP(Seccion1!$B34,Materiales[],8,FALSE)),NA()))</f>
        <v>#N/A</v>
      </c>
      <c r="E17" s="55" t="e">
        <v>#N/A</v>
      </c>
      <c r="F17" s="51" t="e">
        <v>#N/A</v>
      </c>
      <c r="G17" s="56" t="e">
        <f>IF(OR(B17="",B17="Interior"),NA(),SUM($C$7:$C17))</f>
        <v>#N/A</v>
      </c>
      <c r="H17" s="48" t="e">
        <f>IF(B17="",NA(),SUM($D$6:$D17))</f>
        <v>#N/A</v>
      </c>
      <c r="I17" s="50" t="e">
        <v>#N/A</v>
      </c>
      <c r="J17" s="52" t="e">
        <f>IF(I17="",NA(),SUM($I$6:$I17))</f>
        <v>#N/A</v>
      </c>
      <c r="K17" s="53" t="e">
        <v>#N/A</v>
      </c>
      <c r="L17" s="47" t="e">
        <v>#N/A</v>
      </c>
      <c r="M17" s="54" t="e">
        <f t="shared" si="12"/>
        <v>#N/A</v>
      </c>
      <c r="N17" s="51" t="e">
        <v>#N/A</v>
      </c>
      <c r="O17" s="55" t="e">
        <v>#N/A</v>
      </c>
      <c r="P17" s="51" t="e">
        <f t="shared" ca="1" si="0"/>
        <v>#N/A</v>
      </c>
      <c r="Q17" s="47"/>
      <c r="R17" s="55">
        <f t="array" ref="R17">SUM(IF(ISNUMBER(S$6:S17),1,0))+IF($A17&gt;Capas_AT1_C1,1,0)</f>
        <v>6</v>
      </c>
      <c r="S17" s="51" t="e">
        <f t="shared" si="13"/>
        <v>#N/A</v>
      </c>
      <c r="T17" s="51" t="e">
        <f t="shared" si="1"/>
        <v>#N/A</v>
      </c>
      <c r="U17" s="51" t="e">
        <f t="shared" si="2"/>
        <v>#N/A</v>
      </c>
      <c r="V17" s="48" t="str">
        <f t="shared" si="3"/>
        <v>$T$11:$T$12</v>
      </c>
      <c r="W17" s="48" t="str">
        <f t="shared" si="4"/>
        <v>$U$11:$U$12</v>
      </c>
      <c r="X17" s="54" t="e">
        <f t="shared" si="14"/>
        <v>#N/A</v>
      </c>
      <c r="Y17" s="50" t="e">
        <v>#N/A</v>
      </c>
      <c r="Z17" s="55" t="e">
        <v>#N/A</v>
      </c>
      <c r="AA17" s="55">
        <f t="array" ref="AA17">SUM(IF(ISNUMBER(AB$6:AB17),1,0))+IF($A17&gt;Capas_AT1_C1,1,0)</f>
        <v>6</v>
      </c>
      <c r="AB17" s="51" t="e">
        <f t="shared" si="15"/>
        <v>#N/A</v>
      </c>
      <c r="AC17" s="51" t="e">
        <f t="shared" si="16"/>
        <v>#N/A</v>
      </c>
      <c r="AD17" s="51" t="e">
        <f t="shared" si="5"/>
        <v>#N/A</v>
      </c>
      <c r="AE17" s="48" t="str">
        <f t="shared" si="17"/>
        <v>$AC$11:$AC$12</v>
      </c>
      <c r="AF17" s="48" t="str">
        <f t="shared" si="18"/>
        <v>$AD$11:$AD$12</v>
      </c>
      <c r="AG17" s="50" t="e">
        <f t="shared" ca="1" si="6"/>
        <v>#N/A</v>
      </c>
      <c r="AH17" s="47"/>
      <c r="AI17" s="54" t="e">
        <f t="shared" si="19"/>
        <v>#N/A</v>
      </c>
      <c r="AJ17" s="50" t="e">
        <v>#N/A</v>
      </c>
      <c r="AK17" s="55" t="e">
        <v>#N/A</v>
      </c>
      <c r="AL17" s="55">
        <f t="array" ref="AL17">SUM(IF(ISNUMBER(AM$6:AM17),1,0))+IF($A17&gt;Capas_AT1_C1,1,0)</f>
        <v>6</v>
      </c>
      <c r="AM17" s="51" t="e">
        <f t="shared" si="20"/>
        <v>#N/A</v>
      </c>
      <c r="AN17" s="51" t="e">
        <f t="shared" si="21"/>
        <v>#N/A</v>
      </c>
      <c r="AO17" s="51" t="e">
        <f t="shared" si="7"/>
        <v>#N/A</v>
      </c>
      <c r="AP17" s="48" t="str">
        <f t="shared" si="22"/>
        <v>$AN$11:$AN$12</v>
      </c>
      <c r="AQ17" s="48" t="str">
        <f t="shared" si="23"/>
        <v>$AO$11:$AO$12</v>
      </c>
      <c r="AR17" s="50" t="e">
        <f t="shared" ca="1" si="8"/>
        <v>#N/A</v>
      </c>
      <c r="AS17" s="47"/>
      <c r="AT17" s="54" t="e">
        <f t="shared" si="24"/>
        <v>#N/A</v>
      </c>
      <c r="AU17" s="50" t="e">
        <v>#N/A</v>
      </c>
      <c r="AV17" s="55" t="e">
        <v>#N/A</v>
      </c>
      <c r="AW17" s="55">
        <f t="array" ref="AW17">SUM(IF(ISNUMBER(AX$6:AX17),1,0))+IF($A17&gt;Capas_AT1_C1,1,0)</f>
        <v>4</v>
      </c>
      <c r="AX17" s="50" t="e">
        <f t="shared" si="25"/>
        <v>#N/A</v>
      </c>
      <c r="AY17" s="51" t="e">
        <f t="shared" si="26"/>
        <v>#N/A</v>
      </c>
      <c r="AZ17" s="51" t="e">
        <f t="shared" si="9"/>
        <v>#N/A</v>
      </c>
      <c r="BA17" s="48" t="str">
        <f t="shared" si="27"/>
        <v>$AY$9:$AY$10</v>
      </c>
      <c r="BB17" s="48" t="str">
        <f t="shared" si="28"/>
        <v>$AZ$9:$AZ$10</v>
      </c>
      <c r="BC17" s="50" t="e">
        <f t="shared" ca="1" si="10"/>
        <v>#N/A</v>
      </c>
      <c r="BD17" s="47"/>
      <c r="BF17" s="43">
        <v>11</v>
      </c>
      <c r="BG17" s="15" t="e">
        <f t="shared" si="29"/>
        <v>#N/A</v>
      </c>
      <c r="BH17" s="56" t="e">
        <v>#N/A</v>
      </c>
      <c r="BI17" s="325" t="e">
        <f>IF(BG17="Interior",$BN$23,IFERROR(IF(VLOOKUP(Seccion1!I34,Materiales[],3,FALSE)=Aux!$AP$10,IF(LEFT(VLOOKUP(Seccion1!I34,Materiales[],5,FALSE),1)="C",HLOOKUP(RIGHT(VLOOKUP(Seccion1!I34,Materiales[],5,FALSE),4),IF($BM$22=Aux!$AK$11,Aire_horizontal[#All],IF($BM$22=Aux!$AK$12,Aire_ascendente[#All],Aire_descendente[#All])),MATCH(ROUND(VLOOKUP(Seccion1!I34,Materiales[],7,FALSE)*1000,0),IF($BM$22=Aux!$AK$11,Aire_horizontal[Espesor],IF($BM$22=Aux!$AK$12,Aire_ascendente[Espesor],Aire_descendente[Espesor])),1)+1,FALSE),IF(VLOOKUP(Seccion1!I34,Materiales[],5,FALSE)=Aux!$AQ$29,IF(MID(VLOOKUP(Seccion1!I34,Materiales[],8,FALSE),1,2)="R=",VALUE(RIGHT(VLOOKUP(Seccion1!I34,Materiales[],8,FALSE),LEN(VLOOKUP(Seccion1!I34,Materiales[],8,FALSE))-2)),NA()),VLOOKUP(VLOOKUP(Seccion1!I34,Materiales[],5,FALSE),Aux!$AQ$26:$AR$29,2,FALSE))),BH17/VLOOKUP(Seccion1!I34,Materiales[],8,FALSE)),NA()))</f>
        <v>#N/A</v>
      </c>
      <c r="BJ17" s="55" t="e">
        <v>#N/A</v>
      </c>
      <c r="BK17" s="51" t="e">
        <v>#N/A</v>
      </c>
      <c r="BL17" s="56" t="e">
        <f>IF(OR(BH17="",BH17="Interior"),NA(),SUM($BH$7:$BH17))</f>
        <v>#N/A</v>
      </c>
      <c r="BM17" s="48" t="e">
        <f>IF(BG17="",NA(),SUM($BI$6:$BI17))</f>
        <v>#N/A</v>
      </c>
      <c r="BN17" s="50" t="e">
        <v>#N/A</v>
      </c>
      <c r="BO17" s="52" t="e">
        <f>IF(BN17="",NA(),SUM($BN$6:$BN17))</f>
        <v>#N/A</v>
      </c>
      <c r="BP17" s="53" t="e">
        <v>#N/A</v>
      </c>
      <c r="BQ17" s="52" t="e">
        <v>#N/A</v>
      </c>
      <c r="BR17" s="54" t="e">
        <f t="shared" si="30"/>
        <v>#N/A</v>
      </c>
      <c r="BS17" s="50" t="e">
        <v>#N/A</v>
      </c>
      <c r="BT17" s="55" t="e">
        <v>#N/A</v>
      </c>
      <c r="BU17" s="55">
        <f t="array" ref="BU17">SUM(IF(ISNUMBER(BV$6:BV17),1,0))+IF($BF17&gt;Capas_AT1_C2,1,0)</f>
        <v>3</v>
      </c>
      <c r="BV17" s="51" t="e">
        <f t="shared" si="31"/>
        <v>#N/A</v>
      </c>
      <c r="BW17" s="51" t="e">
        <f t="shared" si="32"/>
        <v>#N/A</v>
      </c>
      <c r="BX17" s="51" t="e">
        <f t="shared" si="33"/>
        <v>#N/A</v>
      </c>
      <c r="BY17" s="48" t="str">
        <f t="shared" si="34"/>
        <v>$BW$8:$BW$9</v>
      </c>
      <c r="BZ17" s="48" t="str">
        <f t="shared" si="35"/>
        <v>$BX$8:$BX$9</v>
      </c>
      <c r="CA17" s="50" t="e">
        <f t="shared" ca="1" si="36"/>
        <v>#N/A</v>
      </c>
      <c r="CB17" s="47"/>
      <c r="CC17" s="54" t="e">
        <f t="shared" si="37"/>
        <v>#N/A</v>
      </c>
      <c r="CD17" s="50" t="e">
        <v>#N/A</v>
      </c>
      <c r="CE17" s="55" t="e">
        <v>#N/A</v>
      </c>
      <c r="CF17" s="55">
        <f t="array" ref="CF17">SUM(IF(ISNUMBER(CG$6:CG17),1,0))+IF($BF17&gt;Capas_AT1_C2,1,0)</f>
        <v>3</v>
      </c>
      <c r="CG17" s="51" t="e">
        <f t="shared" si="38"/>
        <v>#N/A</v>
      </c>
      <c r="CH17" s="51" t="e">
        <f t="shared" si="39"/>
        <v>#N/A</v>
      </c>
      <c r="CI17" s="51" t="e">
        <f t="shared" si="40"/>
        <v>#N/A</v>
      </c>
      <c r="CJ17" s="48" t="str">
        <f t="shared" si="41"/>
        <v>$CH$8:$CH$9</v>
      </c>
      <c r="CK17" s="48" t="str">
        <f t="shared" si="42"/>
        <v>$CI$8:$CI$9</v>
      </c>
      <c r="CL17" s="50" t="e">
        <f t="shared" ca="1" si="43"/>
        <v>#N/A</v>
      </c>
      <c r="CM17" s="47"/>
      <c r="CN17" s="54" t="e">
        <f t="shared" si="44"/>
        <v>#N/A</v>
      </c>
      <c r="CO17" s="50" t="e">
        <v>#N/A</v>
      </c>
      <c r="CP17" s="55" t="e">
        <v>#N/A</v>
      </c>
      <c r="CQ17" s="55">
        <f t="array" ref="CQ17">SUM(IF(ISNUMBER(CR$6:CR17),1,0))+IF($BF17&gt;Capas_AT1_C2,1,0)</f>
        <v>3</v>
      </c>
      <c r="CR17" s="51" t="e">
        <f t="shared" si="45"/>
        <v>#N/A</v>
      </c>
      <c r="CS17" s="51" t="e">
        <f t="shared" si="46"/>
        <v>#N/A</v>
      </c>
      <c r="CT17" s="51" t="e">
        <f t="shared" si="47"/>
        <v>#N/A</v>
      </c>
      <c r="CU17" s="48" t="str">
        <f t="shared" si="48"/>
        <v>$CS$8:$CS$9</v>
      </c>
      <c r="CV17" s="48" t="str">
        <f t="shared" si="49"/>
        <v>$CT$8:$CT$9</v>
      </c>
      <c r="CW17" s="50" t="e">
        <f t="shared" ca="1" si="50"/>
        <v>#N/A</v>
      </c>
      <c r="CX17" s="47"/>
      <c r="CY17" s="54" t="e">
        <f t="shared" si="51"/>
        <v>#N/A</v>
      </c>
      <c r="CZ17" s="50" t="e">
        <v>#N/A</v>
      </c>
      <c r="DA17" s="55" t="e">
        <v>#N/A</v>
      </c>
      <c r="DB17" s="55">
        <f t="array" ref="DB17">SUM(IF(ISNUMBER(DC$6:DC17),1,0))+IF($BF17&gt;Capas_AT1_C2,1,0)</f>
        <v>4</v>
      </c>
      <c r="DC17" s="51" t="e">
        <f t="shared" si="52"/>
        <v>#N/A</v>
      </c>
      <c r="DD17" s="51" t="e">
        <f t="shared" si="53"/>
        <v>#N/A</v>
      </c>
      <c r="DE17" s="51" t="e">
        <f t="shared" si="54"/>
        <v>#N/A</v>
      </c>
      <c r="DF17" s="48" t="str">
        <f t="shared" si="55"/>
        <v>$DD$9:$DD$10</v>
      </c>
      <c r="DG17" s="48" t="str">
        <f t="shared" si="56"/>
        <v>$DE$9:$DE$10</v>
      </c>
      <c r="DH17" s="50" t="e">
        <f t="shared" ca="1" si="57"/>
        <v>#N/A</v>
      </c>
      <c r="DI17" s="47"/>
    </row>
    <row r="18" spans="1:113" x14ac:dyDescent="0.25">
      <c r="A18" s="43">
        <v>12</v>
      </c>
      <c r="B18" s="15" t="e">
        <f t="shared" si="11"/>
        <v>#N/A</v>
      </c>
      <c r="C18" s="56" t="e">
        <v>#N/A</v>
      </c>
      <c r="D18" s="325" t="e">
        <f>IF(B18="Interior",Rsi_H1,IFERROR(IF(VLOOKUP(Seccion1!$B35,Materiales[],3,FALSE)=Aux!$AP$10,IF(LEFT(VLOOKUP(Seccion1!$B35,Materiales[],5,FALSE),1)="C",HLOOKUP(RIGHT(VLOOKUP(Seccion1!$B35,Materiales[],5,FALSE),4),IF($H$22=Aux!$AK$11,Aire_horizontal[#All],IF($H$22=Aux!$AK$12,Aire_ascendente[#All],Aire_descendente[#All])),MATCH(ROUND(VLOOKUP(Seccion1!$B35,Materiales[],7,FALSE)*1000,0),IF($H$22=Aux!$AK$11,Aire_horizontal[Espesor],IF($H$22=Aux!$AK$12,Aire_ascendente[Espesor],Aire_descendente[Espesor])),1)+1,FALSE),IF(VLOOKUP(Seccion1!$B35,Materiales[],5,FALSE)=Aux!$AQ$29,IF(MID(VLOOKUP(Seccion1!$B35,Materiales[],8,FALSE),1,2)="R=",VALUE(RIGHT(VLOOKUP(Seccion1!$B35,Materiales[],8,FALSE),LEN(VLOOKUP(Seccion1!$B35,Materiales[],8,FALSE))-2)),NA()),VLOOKUP(VLOOKUP(Seccion1!$B35,Materiales[],5,FALSE),Aux!$AQ$26:$AR$29,2,FALSE))),C18/VLOOKUP(Seccion1!$B35,Materiales[],8,FALSE)),NA()))</f>
        <v>#N/A</v>
      </c>
      <c r="E18" s="55" t="e">
        <v>#N/A</v>
      </c>
      <c r="F18" s="51" t="e">
        <v>#N/A</v>
      </c>
      <c r="G18" s="56" t="e">
        <f>IF(OR(B18="",B18="Interior"),NA(),SUM($C$7:$C18))</f>
        <v>#N/A</v>
      </c>
      <c r="H18" s="48" t="e">
        <f>IF(B18="",NA(),SUM($D$6:$D18))</f>
        <v>#N/A</v>
      </c>
      <c r="I18" s="50" t="e">
        <v>#N/A</v>
      </c>
      <c r="J18" s="52" t="e">
        <f>IF(I18="",NA(),SUM($I$6:$I18))</f>
        <v>#N/A</v>
      </c>
      <c r="K18" s="53" t="e">
        <v>#N/A</v>
      </c>
      <c r="L18" s="47" t="e">
        <v>#N/A</v>
      </c>
      <c r="M18" s="54" t="e">
        <f t="shared" si="12"/>
        <v>#N/A</v>
      </c>
      <c r="N18" s="51" t="e">
        <v>#N/A</v>
      </c>
      <c r="O18" s="55" t="e">
        <v>#N/A</v>
      </c>
      <c r="P18" s="51" t="e">
        <f t="shared" ca="1" si="0"/>
        <v>#N/A</v>
      </c>
      <c r="Q18" s="47"/>
      <c r="R18" s="55">
        <f t="array" ref="R18">SUM(IF(ISNUMBER(S$6:S18),1,0))+IF($A18&gt;Capas_AT1_C1,1,0)</f>
        <v>6</v>
      </c>
      <c r="S18" s="51" t="e">
        <f t="shared" si="13"/>
        <v>#N/A</v>
      </c>
      <c r="T18" s="51" t="e">
        <f t="shared" si="1"/>
        <v>#N/A</v>
      </c>
      <c r="U18" s="51" t="e">
        <f t="shared" si="2"/>
        <v>#N/A</v>
      </c>
      <c r="V18" s="48" t="str">
        <f t="shared" si="3"/>
        <v>$T$11:$T$12</v>
      </c>
      <c r="W18" s="48" t="str">
        <f t="shared" si="4"/>
        <v>$U$11:$U$12</v>
      </c>
      <c r="X18" s="54" t="e">
        <f t="shared" si="14"/>
        <v>#N/A</v>
      </c>
      <c r="Y18" s="50" t="e">
        <v>#N/A</v>
      </c>
      <c r="Z18" s="55" t="e">
        <v>#N/A</v>
      </c>
      <c r="AA18" s="55">
        <f t="array" ref="AA18">SUM(IF(ISNUMBER(AB$6:AB18),1,0))+IF($A18&gt;Capas_AT1_C1,1,0)</f>
        <v>6</v>
      </c>
      <c r="AB18" s="51" t="e">
        <f t="shared" si="15"/>
        <v>#N/A</v>
      </c>
      <c r="AC18" s="51" t="e">
        <f t="shared" si="16"/>
        <v>#N/A</v>
      </c>
      <c r="AD18" s="51" t="e">
        <f t="shared" si="5"/>
        <v>#N/A</v>
      </c>
      <c r="AE18" s="48" t="str">
        <f t="shared" si="17"/>
        <v>$AC$11:$AC$12</v>
      </c>
      <c r="AF18" s="48" t="str">
        <f t="shared" si="18"/>
        <v>$AD$11:$AD$12</v>
      </c>
      <c r="AG18" s="50" t="e">
        <f t="shared" ca="1" si="6"/>
        <v>#N/A</v>
      </c>
      <c r="AH18" s="47"/>
      <c r="AI18" s="54" t="e">
        <f t="shared" si="19"/>
        <v>#N/A</v>
      </c>
      <c r="AJ18" s="50" t="e">
        <v>#N/A</v>
      </c>
      <c r="AK18" s="55" t="e">
        <v>#N/A</v>
      </c>
      <c r="AL18" s="55">
        <f t="array" ref="AL18">SUM(IF(ISNUMBER(AM$6:AM18),1,0))+IF($A18&gt;Capas_AT1_C1,1,0)</f>
        <v>6</v>
      </c>
      <c r="AM18" s="51" t="e">
        <f t="shared" si="20"/>
        <v>#N/A</v>
      </c>
      <c r="AN18" s="51" t="e">
        <f>VLOOKUP($A19,AL$6:AM$18,2,FALSE)</f>
        <v>#N/A</v>
      </c>
      <c r="AO18" s="51" t="e">
        <f t="shared" si="7"/>
        <v>#N/A</v>
      </c>
      <c r="AP18" s="48" t="str">
        <f t="shared" si="22"/>
        <v>$AN$11:$AN$12</v>
      </c>
      <c r="AQ18" s="48" t="str">
        <f t="shared" si="23"/>
        <v>$AO$11:$AO$12</v>
      </c>
      <c r="AR18" s="50" t="e">
        <f t="shared" ca="1" si="8"/>
        <v>#N/A</v>
      </c>
      <c r="AS18" s="47"/>
      <c r="AT18" s="54" t="e">
        <f t="shared" si="24"/>
        <v>#N/A</v>
      </c>
      <c r="AU18" s="50" t="e">
        <v>#N/A</v>
      </c>
      <c r="AV18" s="55" t="e">
        <v>#N/A</v>
      </c>
      <c r="AW18" s="55">
        <f t="array" ref="AW18">SUM(IF(ISNUMBER(AX$6:AX18),1,0))+IF($A18&gt;Capas_AT1_C1,1,0)</f>
        <v>4</v>
      </c>
      <c r="AX18" s="50" t="e">
        <f t="shared" si="25"/>
        <v>#N/A</v>
      </c>
      <c r="AY18" s="51" t="e">
        <f t="shared" si="26"/>
        <v>#N/A</v>
      </c>
      <c r="AZ18" s="51" t="e">
        <f t="shared" si="9"/>
        <v>#N/A</v>
      </c>
      <c r="BA18" s="48" t="str">
        <f t="shared" si="27"/>
        <v>$AY$9:$AY$10</v>
      </c>
      <c r="BB18" s="48" t="str">
        <f t="shared" si="28"/>
        <v>$AZ$9:$AZ$10</v>
      </c>
      <c r="BC18" s="50" t="e">
        <f t="shared" ca="1" si="10"/>
        <v>#N/A</v>
      </c>
      <c r="BD18" s="47"/>
      <c r="BF18" s="43">
        <v>12</v>
      </c>
      <c r="BG18" s="15" t="e">
        <f t="shared" si="29"/>
        <v>#N/A</v>
      </c>
      <c r="BH18" s="56" t="e">
        <v>#N/A</v>
      </c>
      <c r="BI18" s="325" t="e">
        <f>IF(BG18="Interior",$BN$23,IFERROR(IF(VLOOKUP(Seccion1!I35,Materiales[],3,FALSE)=Aux!$AP$10,IF(LEFT(VLOOKUP(Seccion1!I35,Materiales[],5,FALSE),1)="C",HLOOKUP(RIGHT(VLOOKUP(Seccion1!I35,Materiales[],5,FALSE),4),IF($BM$22=Aux!$AK$11,Aire_horizontal[#All],IF($BM$22=Aux!$AK$12,Aire_ascendente[#All],Aire_descendente[#All])),MATCH(ROUND(VLOOKUP(Seccion1!I35,Materiales[],7,FALSE)*1000,0),IF($BM$22=Aux!$AK$11,Aire_horizontal[Espesor],IF($BM$22=Aux!$AK$12,Aire_ascendente[Espesor],Aire_descendente[Espesor])),1)+1,FALSE),IF(VLOOKUP(Seccion1!I35,Materiales[],5,FALSE)=Aux!$AQ$29,IF(MID(VLOOKUP(Seccion1!I35,Materiales[],8,FALSE),1,2)="R=",VALUE(RIGHT(VLOOKUP(Seccion1!I35,Materiales[],8,FALSE),LEN(VLOOKUP(Seccion1!I35,Materiales[],8,FALSE))-2)),NA()),VLOOKUP(VLOOKUP(Seccion1!I35,Materiales[],5,FALSE),Aux!$AQ$26:$AR$29,2,FALSE))),BH18/VLOOKUP(Seccion1!I35,Materiales[],8,FALSE)),NA()))</f>
        <v>#N/A</v>
      </c>
      <c r="BJ18" s="55" t="e">
        <v>#N/A</v>
      </c>
      <c r="BK18" s="51" t="e">
        <v>#N/A</v>
      </c>
      <c r="BL18" s="56" t="e">
        <f>IF(OR(BH18="",BH18="Interior"),NA(),SUM($BH$7:$BH18))</f>
        <v>#N/A</v>
      </c>
      <c r="BM18" s="48" t="e">
        <f>IF(BG18="",NA(),SUM($BI$6:$BI18))</f>
        <v>#N/A</v>
      </c>
      <c r="BN18" s="50" t="e">
        <v>#N/A</v>
      </c>
      <c r="BO18" s="52" t="e">
        <f>IF(BN18="",NA(),SUM($BN$6:$BN18))</f>
        <v>#N/A</v>
      </c>
      <c r="BP18" s="53" t="e">
        <v>#N/A</v>
      </c>
      <c r="BQ18" s="52" t="e">
        <v>#N/A</v>
      </c>
      <c r="BR18" s="54" t="e">
        <f t="shared" si="30"/>
        <v>#N/A</v>
      </c>
      <c r="BS18" s="50" t="e">
        <v>#N/A</v>
      </c>
      <c r="BT18" s="55" t="e">
        <v>#N/A</v>
      </c>
      <c r="BU18" s="55">
        <f t="array" ref="BU18">SUM(IF(ISNUMBER(BV$6:BV18),1,0))+IF($BF18&gt;Capas_AT1_C2,1,0)</f>
        <v>3</v>
      </c>
      <c r="BV18" s="51" t="e">
        <f t="shared" si="31"/>
        <v>#N/A</v>
      </c>
      <c r="BW18" s="51" t="e">
        <f t="shared" si="32"/>
        <v>#N/A</v>
      </c>
      <c r="BX18" s="51" t="e">
        <f t="shared" si="33"/>
        <v>#N/A</v>
      </c>
      <c r="BY18" s="48" t="str">
        <f t="shared" si="34"/>
        <v>$BW$8:$BW$9</v>
      </c>
      <c r="BZ18" s="48" t="str">
        <f t="shared" si="35"/>
        <v>$BX$8:$BX$9</v>
      </c>
      <c r="CA18" s="50" t="e">
        <f t="shared" ca="1" si="36"/>
        <v>#N/A</v>
      </c>
      <c r="CB18" s="47"/>
      <c r="CC18" s="54" t="e">
        <f t="shared" si="37"/>
        <v>#N/A</v>
      </c>
      <c r="CD18" s="50" t="e">
        <v>#N/A</v>
      </c>
      <c r="CE18" s="55" t="e">
        <v>#N/A</v>
      </c>
      <c r="CF18" s="55">
        <f t="array" ref="CF18">SUM(IF(ISNUMBER(CG$6:CG18),1,0))+IF($BF18&gt;Capas_AT1_C2,1,0)</f>
        <v>3</v>
      </c>
      <c r="CG18" s="51" t="e">
        <f t="shared" si="38"/>
        <v>#N/A</v>
      </c>
      <c r="CH18" s="51" t="e">
        <f t="shared" si="39"/>
        <v>#N/A</v>
      </c>
      <c r="CI18" s="51" t="e">
        <f t="shared" si="40"/>
        <v>#N/A</v>
      </c>
      <c r="CJ18" s="48" t="str">
        <f t="shared" si="41"/>
        <v>$CH$8:$CH$9</v>
      </c>
      <c r="CK18" s="48" t="str">
        <f t="shared" si="42"/>
        <v>$CI$8:$CI$9</v>
      </c>
      <c r="CL18" s="50" t="e">
        <f t="shared" ca="1" si="43"/>
        <v>#N/A</v>
      </c>
      <c r="CM18" s="47"/>
      <c r="CN18" s="54" t="e">
        <f t="shared" si="44"/>
        <v>#N/A</v>
      </c>
      <c r="CO18" s="50" t="e">
        <v>#N/A</v>
      </c>
      <c r="CP18" s="55" t="e">
        <v>#N/A</v>
      </c>
      <c r="CQ18" s="55">
        <f t="array" ref="CQ18">SUM(IF(ISNUMBER(CR$6:CR18),1,0))+IF($BF18&gt;Capas_AT1_C2,1,0)</f>
        <v>3</v>
      </c>
      <c r="CR18" s="51" t="e">
        <f t="shared" si="45"/>
        <v>#N/A</v>
      </c>
      <c r="CS18" s="51" t="e">
        <f t="shared" si="46"/>
        <v>#N/A</v>
      </c>
      <c r="CT18" s="51" t="e">
        <f t="shared" si="47"/>
        <v>#N/A</v>
      </c>
      <c r="CU18" s="48" t="str">
        <f t="shared" si="48"/>
        <v>$CS$8:$CS$9</v>
      </c>
      <c r="CV18" s="48" t="str">
        <f t="shared" si="49"/>
        <v>$CT$8:$CT$9</v>
      </c>
      <c r="CW18" s="50" t="e">
        <f t="shared" ca="1" si="50"/>
        <v>#N/A</v>
      </c>
      <c r="CX18" s="47"/>
      <c r="CY18" s="54" t="e">
        <f t="shared" si="51"/>
        <v>#N/A</v>
      </c>
      <c r="CZ18" s="50" t="e">
        <v>#N/A</v>
      </c>
      <c r="DA18" s="55" t="e">
        <v>#N/A</v>
      </c>
      <c r="DB18" s="55">
        <f t="array" ref="DB18">SUM(IF(ISNUMBER(DC$6:DC18),1,0))+IF($BF18&gt;Capas_AT1_C2,1,0)</f>
        <v>4</v>
      </c>
      <c r="DC18" s="51" t="e">
        <f t="shared" si="52"/>
        <v>#N/A</v>
      </c>
      <c r="DD18" s="51" t="e">
        <f t="shared" si="53"/>
        <v>#N/A</v>
      </c>
      <c r="DE18" s="51" t="e">
        <f t="shared" si="54"/>
        <v>#N/A</v>
      </c>
      <c r="DF18" s="48" t="str">
        <f t="shared" si="55"/>
        <v>$DD$9:$DD$10</v>
      </c>
      <c r="DG18" s="48" t="str">
        <f t="shared" si="56"/>
        <v>$DE$9:$DE$10</v>
      </c>
      <c r="DH18" s="50" t="e">
        <f t="shared" ca="1" si="57"/>
        <v>#N/A</v>
      </c>
      <c r="DI18" s="47"/>
    </row>
    <row r="19" spans="1:113" ht="15.75" thickBot="1" x14ac:dyDescent="0.3">
      <c r="A19" s="57"/>
      <c r="B19" s="58" t="e">
        <f>IF(Capas_AT1_C1=12,"Interior",NA())</f>
        <v>#N/A</v>
      </c>
      <c r="C19" s="59"/>
      <c r="D19" s="59" t="e">
        <f>IF(B19="Interior",Rsi_H1,NA())</f>
        <v>#N/A</v>
      </c>
      <c r="E19" s="59"/>
      <c r="F19" s="59"/>
      <c r="G19" s="60"/>
      <c r="H19" s="59"/>
      <c r="I19" s="58"/>
      <c r="J19" s="61"/>
      <c r="K19" s="62"/>
      <c r="L19" s="63"/>
      <c r="M19" s="62"/>
      <c r="N19" s="65"/>
      <c r="O19" s="64"/>
      <c r="P19" s="58"/>
      <c r="Q19" s="61"/>
      <c r="R19" s="58"/>
      <c r="S19" s="58"/>
      <c r="T19" s="58"/>
      <c r="U19" s="58"/>
      <c r="X19" s="62"/>
      <c r="Y19" s="65"/>
      <c r="Z19" s="64"/>
      <c r="AA19" s="58"/>
      <c r="AB19" s="58"/>
      <c r="AC19" s="58"/>
      <c r="AD19" s="58"/>
      <c r="AE19" s="58"/>
      <c r="AF19" s="58"/>
      <c r="AG19" s="58"/>
      <c r="AH19" s="61"/>
      <c r="AI19" s="62"/>
      <c r="AJ19" s="58"/>
      <c r="AK19" s="65"/>
      <c r="AL19" s="64"/>
      <c r="AM19" s="58"/>
      <c r="AN19" s="58"/>
      <c r="AO19" s="58"/>
      <c r="AP19" s="58"/>
      <c r="AQ19" s="58"/>
      <c r="AR19" s="58"/>
      <c r="AS19" s="61"/>
      <c r="AT19" s="62"/>
      <c r="AU19" s="58"/>
      <c r="AV19" s="58"/>
      <c r="AW19" s="58"/>
      <c r="AX19" s="58"/>
      <c r="AY19" s="58"/>
      <c r="AZ19" s="58"/>
      <c r="BA19" s="58"/>
      <c r="BB19" s="58"/>
      <c r="BC19" s="58"/>
      <c r="BD19" s="61"/>
      <c r="BF19" s="57"/>
      <c r="BG19" s="58" t="e">
        <f>IF(Capas_AT1_C2=12,"Interior",NA())</f>
        <v>#N/A</v>
      </c>
      <c r="BH19" s="59"/>
      <c r="BI19" s="59" t="e">
        <f>IF(BG19="Interior",$BN$23,NA())</f>
        <v>#N/A</v>
      </c>
      <c r="BJ19" s="59"/>
      <c r="BK19" s="59"/>
      <c r="BL19" s="60"/>
      <c r="BM19" s="59"/>
      <c r="BN19" s="59"/>
      <c r="BO19" s="66"/>
      <c r="BP19" s="62"/>
      <c r="BQ19" s="63"/>
      <c r="BR19" s="62"/>
      <c r="BS19" s="65"/>
      <c r="BT19" s="64"/>
      <c r="BU19" s="58"/>
      <c r="BV19" s="58"/>
      <c r="BW19" s="58"/>
      <c r="BX19" s="58"/>
      <c r="BY19" s="58"/>
      <c r="BZ19" s="58"/>
      <c r="CA19" s="58"/>
      <c r="CB19" s="61"/>
      <c r="CC19" s="62"/>
      <c r="CD19" s="65"/>
      <c r="CE19" s="64"/>
      <c r="CF19" s="58"/>
      <c r="CG19" s="58"/>
      <c r="CH19" s="58"/>
      <c r="CI19" s="58"/>
      <c r="CJ19" s="58"/>
      <c r="CK19" s="58"/>
      <c r="CL19" s="58"/>
      <c r="CM19" s="61"/>
      <c r="CN19" s="62"/>
      <c r="CO19" s="58"/>
      <c r="CP19" s="58"/>
      <c r="CQ19" s="65"/>
      <c r="CR19" s="58"/>
      <c r="CS19" s="58"/>
      <c r="CT19" s="58"/>
      <c r="CU19" s="58"/>
      <c r="CV19" s="58"/>
      <c r="CW19" s="58"/>
      <c r="CX19" s="61"/>
      <c r="CY19" s="62"/>
      <c r="CZ19" s="65"/>
      <c r="DA19" s="64"/>
      <c r="DB19" s="58"/>
      <c r="DC19" s="58"/>
      <c r="DD19" s="58"/>
      <c r="DE19" s="58"/>
      <c r="DF19" s="58"/>
      <c r="DG19" s="58"/>
      <c r="DH19" s="58"/>
      <c r="DI19" s="61"/>
    </row>
    <row r="20" spans="1:113" ht="18" x14ac:dyDescent="0.35">
      <c r="A20" s="37"/>
      <c r="B20" s="40" t="s">
        <v>158</v>
      </c>
      <c r="C20" s="40" t="s">
        <v>180</v>
      </c>
      <c r="D20" s="40" t="s">
        <v>123</v>
      </c>
      <c r="E20" s="67"/>
      <c r="F20" s="40" t="s">
        <v>811</v>
      </c>
      <c r="G20" s="67"/>
      <c r="H20" s="67"/>
      <c r="I20" s="40" t="s">
        <v>124</v>
      </c>
      <c r="J20" s="38"/>
      <c r="K20" s="68" t="s">
        <v>144</v>
      </c>
      <c r="L20" s="69">
        <f>VLOOKUP(Seccion1!provincia_C1,datos_humedad_julio[],2,FALSE)</f>
        <v>0.95</v>
      </c>
      <c r="M20" s="111"/>
      <c r="N20" s="77" t="s">
        <v>160</v>
      </c>
      <c r="O20" s="70" t="b">
        <f>IF(Capas_AT1_C1&gt;0,IF(SUMIF(O6:O18,"&gt;0",O6:O18)&gt;0,TRUE,FALSE),"")</f>
        <v>1</v>
      </c>
      <c r="P20" s="38"/>
      <c r="Q20" s="38"/>
      <c r="R20" s="38"/>
      <c r="S20" s="38"/>
      <c r="T20" s="71"/>
      <c r="U20" s="71"/>
      <c r="V20" s="38"/>
      <c r="W20" s="72"/>
      <c r="X20" s="111"/>
      <c r="Y20" s="77" t="s">
        <v>160</v>
      </c>
      <c r="Z20" s="70" t="b">
        <f>IF(Capas_AT1_C1&gt;0,IF(SUMIF(Z6:Z18,"&gt;0",Z6:Z18)&gt;0,TRUE,FALSE),"")</f>
        <v>1</v>
      </c>
      <c r="AA20" s="38"/>
      <c r="AB20" s="38"/>
      <c r="AC20" s="38"/>
      <c r="AD20" s="38"/>
      <c r="AE20" s="38"/>
      <c r="AF20" s="38"/>
      <c r="AG20" s="38"/>
      <c r="AH20" s="72"/>
      <c r="AI20" s="111"/>
      <c r="AJ20" s="77" t="s">
        <v>160</v>
      </c>
      <c r="AK20" s="70" t="b">
        <f>IF(Capas_AT1_C1&gt;0,IF(SUMIF(AK6:AK18,"&gt;0",AK6:AK18)&gt;0,TRUE,FALSE),"")</f>
        <v>1</v>
      </c>
      <c r="AL20" s="38"/>
      <c r="AM20" s="38"/>
      <c r="AN20" s="38"/>
      <c r="AO20" s="38"/>
      <c r="AP20" s="38"/>
      <c r="AQ20" s="38"/>
      <c r="AR20" s="38"/>
      <c r="AS20" s="72"/>
      <c r="AT20" s="111"/>
      <c r="AU20" s="77" t="s">
        <v>160</v>
      </c>
      <c r="AV20" s="70" t="b">
        <f>IF(Capas_AT1_C1&gt;0,IF(SUMIF(AV6:AV18,"&gt;0",AV6:AV18)&gt;0,TRUE,FALSE),"")</f>
        <v>1</v>
      </c>
      <c r="AW20" s="38"/>
      <c r="AX20" s="38"/>
      <c r="AY20" s="38"/>
      <c r="AZ20" s="38"/>
      <c r="BA20" s="38"/>
      <c r="BB20" s="38"/>
      <c r="BC20" s="38"/>
      <c r="BD20" s="72"/>
      <c r="BF20" s="37"/>
      <c r="BG20" s="40" t="s">
        <v>158</v>
      </c>
      <c r="BH20" s="40" t="s">
        <v>180</v>
      </c>
      <c r="BI20" s="40" t="s">
        <v>123</v>
      </c>
      <c r="BJ20" s="38"/>
      <c r="BK20" s="40" t="s">
        <v>811</v>
      </c>
      <c r="BL20" s="38"/>
      <c r="BM20" s="38"/>
      <c r="BN20" s="40" t="s">
        <v>124</v>
      </c>
      <c r="BO20" s="72"/>
      <c r="BP20" s="68" t="s">
        <v>144</v>
      </c>
      <c r="BQ20" s="73">
        <f>IF(Seccion1!Casilla1,φe_H1_C1,VLOOKUP(Seccion1!provincia_C2,datos_humedad_julio[],2,FALSE))</f>
        <v>0.95</v>
      </c>
      <c r="BR20" s="111"/>
      <c r="BS20" s="77" t="s">
        <v>160</v>
      </c>
      <c r="BT20" s="70" t="b">
        <f>IF(Capas_AT1_C2&gt;0,IF(SUMIF(BT6:BT18,"&gt;0",BT6:BT18)&gt;0,TRUE,FALSE),"")</f>
        <v>0</v>
      </c>
      <c r="BU20" s="38"/>
      <c r="BV20" s="38"/>
      <c r="BW20" s="38"/>
      <c r="BX20" s="38"/>
      <c r="BY20" s="38"/>
      <c r="BZ20" s="38"/>
      <c r="CA20" s="38"/>
      <c r="CB20" s="72"/>
      <c r="CC20" s="111"/>
      <c r="CD20" s="77" t="s">
        <v>160</v>
      </c>
      <c r="CE20" s="70" t="b">
        <f>IF(Capas_AT1_C2&gt;0,IF(SUMIF(CE6:CE18,"&gt;0",CE6:CE18)&gt;0,TRUE,FALSE),"")</f>
        <v>0</v>
      </c>
      <c r="CF20" s="38"/>
      <c r="CG20" s="38"/>
      <c r="CH20" s="38"/>
      <c r="CI20" s="38"/>
      <c r="CJ20" s="38"/>
      <c r="CK20" s="38"/>
      <c r="CL20" s="38"/>
      <c r="CM20" s="72"/>
      <c r="CN20" s="111"/>
      <c r="CO20" s="77" t="s">
        <v>160</v>
      </c>
      <c r="CP20" s="70" t="b">
        <f>IF(Capas_AT1_C2&gt;0,IF(SUMIF(CP6:CP18,"&gt;0",CP6:CP18)&gt;0,TRUE,FALSE),"")</f>
        <v>0</v>
      </c>
      <c r="CQ20" s="38"/>
      <c r="CR20" s="38"/>
      <c r="CS20" s="38"/>
      <c r="CT20" s="38"/>
      <c r="CU20" s="38"/>
      <c r="CV20" s="38"/>
      <c r="CW20" s="38"/>
      <c r="CX20" s="72"/>
      <c r="CY20" s="111"/>
      <c r="CZ20" s="77" t="s">
        <v>160</v>
      </c>
      <c r="DA20" s="70" t="b">
        <f>IF(Capas_AT1_C2&gt;0,IF(SUMIF(DA6:DA18,"&gt;0",DA6:DA18)&gt;0,TRUE,FALSE),"")</f>
        <v>1</v>
      </c>
      <c r="DB20" s="38"/>
      <c r="DC20" s="38"/>
      <c r="DD20" s="38"/>
      <c r="DE20" s="38"/>
      <c r="DF20" s="38"/>
      <c r="DG20" s="38"/>
      <c r="DH20" s="38"/>
      <c r="DI20" s="72"/>
    </row>
    <row r="21" spans="1:113" ht="15.75" thickBot="1" x14ac:dyDescent="0.3">
      <c r="A21" s="57"/>
      <c r="B21" s="59">
        <f>COUNTA(Seccion1!lista_Materiales_C1)</f>
        <v>5</v>
      </c>
      <c r="C21" s="326">
        <f t="array" ref="C21">SUM(IFERROR(d_AT1_C1,0))</f>
        <v>0.15210000000000001</v>
      </c>
      <c r="D21" s="326">
        <f t="array" ref="D21">IF(Capas_AT1_C1&gt;0,SUM(IFERROR($D$6:$D$19,0)),0)</f>
        <v>3.3471370683579984</v>
      </c>
      <c r="E21" s="59"/>
      <c r="F21" s="59">
        <f>Seccion1!$S$18</f>
        <v>2</v>
      </c>
      <c r="G21" s="59"/>
      <c r="H21" s="59"/>
      <c r="I21" s="74">
        <f t="array" ref="I21">SUM(IFERROR(S_d_H1_C1,0))</f>
        <v>8.8832339999999981</v>
      </c>
      <c r="J21" s="58"/>
      <c r="K21" s="75" t="s">
        <v>145</v>
      </c>
      <c r="L21" s="76">
        <f>VLOOKUP(Seccion1!provincia_C1,datos_temperatura_julio[],2,FALSE)</f>
        <v>-0.4</v>
      </c>
      <c r="M21" s="112"/>
      <c r="N21" s="80" t="s">
        <v>162</v>
      </c>
      <c r="O21" s="17">
        <f>SUMIF(O6:O18,"&gt;0",O6:O18)</f>
        <v>3</v>
      </c>
      <c r="T21" s="48"/>
      <c r="U21" s="48"/>
      <c r="W21" s="49"/>
      <c r="X21" s="112"/>
      <c r="Y21" s="80" t="s">
        <v>162</v>
      </c>
      <c r="Z21" s="48">
        <f>SUMIF(Z6:Z18,"&gt;0",Z6:Z18)</f>
        <v>3</v>
      </c>
      <c r="AH21" s="49"/>
      <c r="AI21" s="112"/>
      <c r="AJ21" s="80" t="s">
        <v>162</v>
      </c>
      <c r="AK21" s="48">
        <f>SUMIF(AK6:AK18,"&gt;0",AK6:AK18)</f>
        <v>3</v>
      </c>
      <c r="AS21" s="49"/>
      <c r="AT21" s="112"/>
      <c r="AU21" s="80" t="s">
        <v>162</v>
      </c>
      <c r="AV21" s="48">
        <f>SUMIF(AV6:AV18,"&gt;0",AV6:AV18)</f>
        <v>1</v>
      </c>
      <c r="BD21" s="49"/>
      <c r="BF21" s="57"/>
      <c r="BG21" s="59">
        <f>COUNTA(Seccion1!lista_Materiales_C2)</f>
        <v>6</v>
      </c>
      <c r="BH21" s="326">
        <f t="array" ref="BH21">SUM(IFERROR(d_AT1_C2,0))</f>
        <v>0.14157</v>
      </c>
      <c r="BI21" s="326">
        <f t="array" ref="BI21">IF(Capas_AT1_C2&gt;0,SUM(IFERROR($BI$6:$BI$19,0)),0)</f>
        <v>3.3933220912591899</v>
      </c>
      <c r="BJ21" s="59"/>
      <c r="BK21" s="59">
        <f>Seccion1!$V$18</f>
        <v>2</v>
      </c>
      <c r="BL21" s="59"/>
      <c r="BM21" s="59"/>
      <c r="BN21" s="74">
        <f t="array" ref="BN21">SUM(IFERROR($BN$6:$BN$18,0))</f>
        <v>31.812474000000002</v>
      </c>
      <c r="BO21" s="61"/>
      <c r="BP21" s="75" t="s">
        <v>145</v>
      </c>
      <c r="BQ21" s="76">
        <f>IF(Seccion1!Casilla1,ϴe_H1_C1,VLOOKUP(Seccion1!provincia_C2,datos_temperatura_julio[],2,FALSE))</f>
        <v>-0.4</v>
      </c>
      <c r="BR21" s="112"/>
      <c r="BS21" s="80" t="s">
        <v>162</v>
      </c>
      <c r="BT21" s="17">
        <f>SUMIF(BT6:BT18,"&gt;0",BT6:BT18)</f>
        <v>0</v>
      </c>
      <c r="CB21" s="49"/>
      <c r="CC21" s="112"/>
      <c r="CD21" s="80" t="s">
        <v>162</v>
      </c>
      <c r="CE21" s="17">
        <f>SUMIF(CE6:CE18,"&gt;0",CE6:CE18)</f>
        <v>0</v>
      </c>
      <c r="CM21" s="49"/>
      <c r="CN21" s="112"/>
      <c r="CO21" s="80" t="s">
        <v>162</v>
      </c>
      <c r="CP21" s="17">
        <f>SUMIF(CP6:CP18,"&gt;0",CP6:CP18)</f>
        <v>0</v>
      </c>
      <c r="CX21" s="49"/>
      <c r="CY21" s="112"/>
      <c r="CZ21" s="80" t="s">
        <v>162</v>
      </c>
      <c r="DA21" s="17">
        <f>SUMIF(DA6:DA18,"&gt;0",DA6:DA18)</f>
        <v>1</v>
      </c>
      <c r="DI21" s="49"/>
    </row>
    <row r="22" spans="1:113" ht="18" x14ac:dyDescent="0.35">
      <c r="H22" s="77" t="str">
        <f>Seccion1!direccion_flujo_C1</f>
        <v>Horizontal</v>
      </c>
      <c r="I22" s="38"/>
      <c r="K22" s="75" t="s">
        <v>108</v>
      </c>
      <c r="L22" s="78">
        <f>IF(ISNUMBER(ϴe_H1_C1),IF(ϴe_H1_C1&gt;=0,610.5*EXP((17.269*ϴe_H1_C1)/(237.3+ϴe_H1_C1)),610.5*EXP((21.875*ϴe_H1_C1)/(265.5+ϴe_H1_C1))),NA())</f>
        <v>590.67850278800859</v>
      </c>
      <c r="M22" s="113"/>
      <c r="N22" s="80" t="s">
        <v>125</v>
      </c>
      <c r="O22" s="79">
        <f>IFERROR(Pi_HR_1_H1_C1/$L$26,NA())</f>
        <v>1427.4983081009464</v>
      </c>
      <c r="W22" s="49"/>
      <c r="X22" s="113"/>
      <c r="Y22" s="80" t="s">
        <v>125</v>
      </c>
      <c r="Z22" s="79">
        <f>IFERROR(Pi_HR_2_H1_C1/$L$26,NA())</f>
        <v>1647.1134324241689</v>
      </c>
      <c r="AH22" s="49"/>
      <c r="AI22" s="113"/>
      <c r="AJ22" s="80" t="s">
        <v>125</v>
      </c>
      <c r="AK22" s="79">
        <f>IFERROR(Pi_HR_3_H1_C1/$L$26,NA())</f>
        <v>1756.9209945857801</v>
      </c>
      <c r="AS22" s="49"/>
      <c r="AT22" s="113"/>
      <c r="AU22" s="80" t="s">
        <v>125</v>
      </c>
      <c r="AV22" s="79">
        <f>IFERROR(Pi_HR_4_H1_C1/$L$26,NA())</f>
        <v>702.76839783431228</v>
      </c>
      <c r="BD22" s="49"/>
      <c r="BM22" s="15" t="str">
        <f>Seccion1!direccion_flujo_C2</f>
        <v>Horizontal</v>
      </c>
      <c r="BP22" s="75" t="s">
        <v>156</v>
      </c>
      <c r="BQ22" s="73">
        <f>P_sat_e_AT1_C2*φe_H1_C2</f>
        <v>561.14457764860811</v>
      </c>
      <c r="BR22" s="113"/>
      <c r="BS22" s="80" t="s">
        <v>125</v>
      </c>
      <c r="BT22" s="79">
        <f>IFERROR(Pi_HR_1_H1_C2/$BQ$26,NA())</f>
        <v>1427.4983081009464</v>
      </c>
      <c r="CB22" s="49"/>
      <c r="CC22" s="113"/>
      <c r="CD22" s="80" t="s">
        <v>125</v>
      </c>
      <c r="CE22" s="79">
        <f>IFERROR(Pi_HR_2_H1_C2/$BQ$26,NA())</f>
        <v>1647.1134324241689</v>
      </c>
      <c r="CM22" s="49"/>
      <c r="CN22" s="113"/>
      <c r="CO22" s="80" t="s">
        <v>125</v>
      </c>
      <c r="CP22" s="79">
        <f>IFERROR(Pi_HR_3_H1_C2/$BQ$26,NA())</f>
        <v>1756.9209945857801</v>
      </c>
      <c r="CX22" s="49"/>
      <c r="CY22" s="113"/>
      <c r="CZ22" s="80" t="s">
        <v>125</v>
      </c>
      <c r="DA22" s="79">
        <f>IFERROR(Pi_HR_4_H1_C2/$BQ$26,NA())</f>
        <v>1998.4976313413263</v>
      </c>
      <c r="DI22" s="49"/>
    </row>
    <row r="23" spans="1:113" ht="18" customHeight="1" x14ac:dyDescent="0.35">
      <c r="D23"/>
      <c r="H23" s="80" t="s">
        <v>25</v>
      </c>
      <c r="I23" s="22">
        <f>CHOOSE(F21,VLOOKUP(H22,Rsi_ventana_puerta,2,FALSE),Rsi_opaco)</f>
        <v>0.25</v>
      </c>
      <c r="K23" s="81" t="s">
        <v>109</v>
      </c>
      <c r="L23" s="78">
        <f>IF(ISNUMBER(ϴi_H1_C1),IF(ϴi_H1_C1&gt;=0,610.5*EXP((17.269*ϴi_H1_C1)/(237.3+ϴi_H1_C1)),610.5*EXP((21.875*ϴi_H1_C1)/(265.5+ϴi_H1_C1))),NA())</f>
        <v>2196.1512432322252</v>
      </c>
      <c r="M23" s="113"/>
      <c r="N23" s="80" t="s">
        <v>126</v>
      </c>
      <c r="O23" s="82">
        <f>IFERROR(IF(O$22&lt;610.5,((265.5)*(LOG(O$22/610.5,EXP(1)))/((21.875)-(LOG(O$22/610.5,EXP(1))))),((237.3)*(LOG(O$22/610.5,EXP(1)))/((17.269)-(LOG(O$22/610.5,EXP(1)))))),NA())</f>
        <v>12.275739694863592</v>
      </c>
      <c r="W23" s="49"/>
      <c r="X23" s="113"/>
      <c r="Y23" s="80" t="s">
        <v>126</v>
      </c>
      <c r="Z23" s="82">
        <f>IFERROR(IF(Z$22&lt;610.5,((265.5)*(LOG(Z$22/610.5,EXP(1)))/((21.875)-(LOG(Z$22/610.5,EXP(1))))),((237.3)*(LOG(Z$22/610.5,EXP(1)))/((17.269)-(LOG(Z$22/610.5,EXP(1)))))),NA())</f>
        <v>14.469976893839661</v>
      </c>
      <c r="AH23" s="49"/>
      <c r="AI23" s="113"/>
      <c r="AJ23" s="80" t="s">
        <v>126</v>
      </c>
      <c r="AK23" s="82">
        <f>IFERROR(IF(AK$22&lt;610.5,((265.5)*(LOG(AK$22/610.5,EXP(1)))/((21.875)-(LOG(AK$22/610.5,EXP(1))))),((237.3)*(LOG(AK$22/610.5,EXP(1)))/((17.269)-(LOG(AK$22/610.5,EXP(1)))))),NA())</f>
        <v>15.472253102435975</v>
      </c>
      <c r="AS23" s="49"/>
      <c r="AT23" s="113"/>
      <c r="AU23" s="80" t="s">
        <v>126</v>
      </c>
      <c r="AV23" s="82">
        <f>IFERROR(IF(AV$22&lt;610.5,((265.5)*(LOG(AV$22/610.5,EXP(1)))/((21.875)-(LOG(AV$22/610.5,EXP(1))))),((237.3)*(LOG(AV$22/610.5,EXP(1)))/((17.269)-(LOG(AV$22/610.5,EXP(1)))))),NA())</f>
        <v>1.9499808000092855</v>
      </c>
      <c r="BD23" s="49"/>
      <c r="BM23" s="28" t="s">
        <v>25</v>
      </c>
      <c r="BN23" s="22">
        <f>CHOOSE(BK21,VLOOKUP(BM22,Rsi_ventana_puerta,2,FALSE),Rsi_opaco)</f>
        <v>0.25</v>
      </c>
      <c r="BP23" s="75" t="s">
        <v>108</v>
      </c>
      <c r="BQ23" s="73">
        <f>IF(ISNUMBER(ϴe_H1_C2),IF(ϴe_H1_C2&gt;=0,610.5*EXP((17.269*ϴe_H1_C2)/(237.3+ϴe_H1_C2)),610.5*EXP((21.875*ϴe_H1_C2)/(265.5+ϴe_H1_C2))),NA())</f>
        <v>590.67850278800859</v>
      </c>
      <c r="BR23" s="113"/>
      <c r="BS23" s="80" t="s">
        <v>126</v>
      </c>
      <c r="BT23" s="82">
        <f>IFERROR(IF(BT$22&lt;610.5,((265.5)*(LOG(BT$22/610.5,EXP(1)))/((21.875)-(LOG(BT$22/610.5,EXP(1))))),((237.3)*(LOG(BT$22/610.5,EXP(1)))/((17.269)-(LOG(BT$22/610.5,EXP(1)))))),NA())</f>
        <v>12.275739694863592</v>
      </c>
      <c r="CB23" s="49"/>
      <c r="CC23" s="113"/>
      <c r="CD23" s="80" t="s">
        <v>126</v>
      </c>
      <c r="CE23" s="82">
        <f>IFERROR(IF(CE$22&lt;610.5,((265.5)*(LOG(CE$22/610.5,EXP(1)))/((21.875)-(LOG(CE$22/610.5,EXP(1))))),((237.3)*(LOG(CE$22/610.5,EXP(1)))/((17.269)-(LOG(CE$22/610.5,EXP(1)))))),NA())</f>
        <v>14.469976893839661</v>
      </c>
      <c r="CM23" s="49"/>
      <c r="CN23" s="113"/>
      <c r="CO23" s="80" t="s">
        <v>126</v>
      </c>
      <c r="CP23" s="82">
        <f>IFERROR(IF(CP$22&lt;610.5,((265.5)*(LOG(CP$22/610.5,EXP(1)))/((21.875)-(LOG(CP$22/610.5,EXP(1))))),((237.3)*(LOG(CP$22/610.5,EXP(1)))/((17.269)-(LOG(CP$22/610.5,EXP(1)))))),NA())</f>
        <v>15.472253102435975</v>
      </c>
      <c r="CX23" s="49"/>
      <c r="CY23" s="113"/>
      <c r="CZ23" s="80" t="s">
        <v>126</v>
      </c>
      <c r="DA23" s="82">
        <f>IFERROR(IF(DA$22&lt;610.5,((265.5)*(LOG(DA$22/610.5,EXP(1)))/((21.875)-(LOG(DA$22/610.5,EXP(1))))),((237.3)*(LOG(DA$22/610.5,EXP(1)))/((17.269)-(LOG(DA$22/610.5,EXP(1)))))),NA())</f>
        <v>17.497069214421398</v>
      </c>
      <c r="DI23" s="49"/>
    </row>
    <row r="24" spans="1:113" ht="18" x14ac:dyDescent="0.35">
      <c r="D24" s="328"/>
      <c r="H24" s="80" t="s">
        <v>105</v>
      </c>
      <c r="I24" s="22">
        <f>Rse</f>
        <v>0.04</v>
      </c>
      <c r="K24" s="75" t="s">
        <v>156</v>
      </c>
      <c r="L24" s="78">
        <f>P_sat_e_AT1_C1*φe_H1_C1</f>
        <v>561.14457764860811</v>
      </c>
      <c r="M24" s="113"/>
      <c r="N24" s="80" t="s">
        <v>127</v>
      </c>
      <c r="O24" s="83">
        <f>IFERROR((O$23-ϴe_H1_C1)/($L$25-ϴe_H1_C1),NA())</f>
        <v>0.65338864406513364</v>
      </c>
      <c r="W24" s="49"/>
      <c r="X24" s="113"/>
      <c r="Y24" s="80" t="s">
        <v>127</v>
      </c>
      <c r="Z24" s="83">
        <f>IFERROR((Z$23-ϴe_H1_C1)/($L$25-ϴe_H1_C1),NA())</f>
        <v>0.76649365432163208</v>
      </c>
      <c r="AH24" s="49"/>
      <c r="AI24" s="113"/>
      <c r="AJ24" s="80" t="s">
        <v>127</v>
      </c>
      <c r="AK24" s="83">
        <f>IFERROR((AK$23-ϴe_H1_C1)/($L$25-ϴe_H1_C1),NA())</f>
        <v>0.81815737641422559</v>
      </c>
      <c r="AS24" s="49"/>
      <c r="AT24" s="113"/>
      <c r="AU24" s="80" t="s">
        <v>127</v>
      </c>
      <c r="AV24" s="83">
        <f>IFERROR((AV$23-ϴe_H1_C1)/($L$25-ϴe_H1_C1),NA())</f>
        <v>0.12113303092831369</v>
      </c>
      <c r="BD24" s="49"/>
      <c r="BM24" s="28" t="s">
        <v>105</v>
      </c>
      <c r="BN24" s="22">
        <f>Rse</f>
        <v>0.04</v>
      </c>
      <c r="BP24" s="75" t="s">
        <v>109</v>
      </c>
      <c r="BQ24" s="73">
        <f>IF(ISNUMBER(ϴi_H1_C2),IF(ϴi_H1_C2&gt;=0,610.5*EXP((17.269*ϴi_H1_C2)/(237.3+ϴi_H1_C2)),610.5*EXP((21.875*ϴi_H1_C2)/(265.5+ϴi_H1_C2))),NA())</f>
        <v>2196.1512432322252</v>
      </c>
      <c r="BR24" s="113"/>
      <c r="BS24" s="80" t="s">
        <v>127</v>
      </c>
      <c r="BT24" s="83">
        <f>IFERROR((BT$23-ϴe_H1_C2)/(ϴi_H1_C2-ϴe_H1_C2),NA())</f>
        <v>0.65338864406513364</v>
      </c>
      <c r="CB24" s="49"/>
      <c r="CC24" s="113"/>
      <c r="CD24" s="80" t="s">
        <v>127</v>
      </c>
      <c r="CE24" s="83">
        <f>IFERROR((CE$23-ϴe_H1_C2)/(ϴi_H1_C2-ϴe_H1_C2),NA())</f>
        <v>0.76649365432163208</v>
      </c>
      <c r="CM24" s="49"/>
      <c r="CN24" s="113"/>
      <c r="CO24" s="80" t="s">
        <v>127</v>
      </c>
      <c r="CP24" s="83">
        <f>IFERROR((CP$23-ϴe_H1_C2)/(ϴi_H1_C2-ϴe_H1_C2),NA())</f>
        <v>0.81815737641422559</v>
      </c>
      <c r="CX24" s="49"/>
      <c r="CY24" s="113"/>
      <c r="CZ24" s="80" t="s">
        <v>127</v>
      </c>
      <c r="DA24" s="83">
        <f>IFERROR((DA$23-ϴe_H1_C2)/(ϴi_H1_C2-ϴe_H1_C2),NA())</f>
        <v>0.92252934094955663</v>
      </c>
      <c r="DI24" s="49"/>
    </row>
    <row r="25" spans="1:113" ht="18" x14ac:dyDescent="0.35">
      <c r="K25" s="75" t="s">
        <v>275</v>
      </c>
      <c r="L25" s="17">
        <f>Aux!$AK$3</f>
        <v>19</v>
      </c>
      <c r="M25" s="114"/>
      <c r="N25" s="80" t="s">
        <v>122</v>
      </c>
      <c r="O25" s="22">
        <f>IF(Capas_AT1_C1&gt;0,IFERROR(Rsi_H1/(1-O$24),"inf"),NA())</f>
        <v>0.72126892474630544</v>
      </c>
      <c r="W25" s="49"/>
      <c r="X25" s="114"/>
      <c r="Y25" s="80" t="s">
        <v>122</v>
      </c>
      <c r="Z25" s="22">
        <f>IF(Capas_AT1_C1&gt;0,IFERROR(Rsi_H1/(1-Z$24),"inf"),NA())</f>
        <v>1.0706347156164675</v>
      </c>
      <c r="AH25" s="49"/>
      <c r="AI25" s="114"/>
      <c r="AJ25" s="80" t="s">
        <v>122</v>
      </c>
      <c r="AK25" s="22">
        <f>IF(Capas_AT1_C1&gt;0,IFERROR(Rsi_H1/(1-AK$24),"inf"),NA())</f>
        <v>1.3748151839773475</v>
      </c>
      <c r="AS25" s="49"/>
      <c r="AT25" s="114"/>
      <c r="AU25" s="80" t="s">
        <v>122</v>
      </c>
      <c r="AV25" s="22">
        <f>IF(Capas_AT1_C1&gt;0,IFERROR(Rsi_H1/(1-AV$24),"inf"),NA())</f>
        <v>0.28445715767889818</v>
      </c>
      <c r="BD25" s="49"/>
      <c r="BM25" s="15" t="s">
        <v>282</v>
      </c>
      <c r="BN25" s="15" t="b">
        <f>Seccion1!Casilla1</f>
        <v>1</v>
      </c>
      <c r="BO25" s="49"/>
      <c r="BP25" s="75" t="s">
        <v>275</v>
      </c>
      <c r="BQ25" s="17">
        <f>Aux!$AK$3</f>
        <v>19</v>
      </c>
      <c r="BR25" s="114"/>
      <c r="BS25" s="80" t="s">
        <v>122</v>
      </c>
      <c r="BT25" s="22">
        <f>IF(Capas_AT1_C2&gt;0,IFERROR($BN$23/(1-BT$24),"inf"),NA())</f>
        <v>0.72126892474630544</v>
      </c>
      <c r="CB25" s="49"/>
      <c r="CC25" s="114"/>
      <c r="CD25" s="80" t="s">
        <v>122</v>
      </c>
      <c r="CE25" s="22">
        <f>IF(Capas_AT1_C2&gt;0,IFERROR($BN$23/(1-CE$24),"inf"),NA())</f>
        <v>1.0706347156164675</v>
      </c>
      <c r="CM25" s="49"/>
      <c r="CN25" s="114"/>
      <c r="CO25" s="80" t="s">
        <v>122</v>
      </c>
      <c r="CP25" s="22">
        <f>IF(Capas_AT1_C2&gt;0,IFERROR($BN$23/(1-CP$24),"inf"),NA())</f>
        <v>1.3748151839773475</v>
      </c>
      <c r="CX25" s="49"/>
      <c r="CY25" s="114"/>
      <c r="CZ25" s="80" t="s">
        <v>122</v>
      </c>
      <c r="DA25" s="22">
        <f>IF(Capas_AT1_C2&gt;0,IFERROR($BN$23/(1-DA$24),"inf"),NA())</f>
        <v>3.227028181562491</v>
      </c>
      <c r="DI25" s="49"/>
    </row>
    <row r="26" spans="1:113" x14ac:dyDescent="0.25">
      <c r="J26" s="49"/>
      <c r="K26" s="75" t="s">
        <v>278</v>
      </c>
      <c r="L26" s="17">
        <f>Seccion1!φsicr_C1</f>
        <v>1</v>
      </c>
      <c r="M26" s="43"/>
      <c r="N26" s="28" t="s">
        <v>159</v>
      </c>
      <c r="O26" s="17" t="b">
        <f>IF(Capas_AT1_C1&gt;0,IF(IFERROR(RT_H1_C1&lt;=O$25,TRUE)+(Q3&gt;=$L$26),TRUE,FALSE),NA())</f>
        <v>0</v>
      </c>
      <c r="W26" s="49"/>
      <c r="X26" s="43"/>
      <c r="Y26" s="28" t="s">
        <v>159</v>
      </c>
      <c r="Z26" s="17" t="b">
        <f>IF(Capas_AT1_C1&gt;0,IF(IFERROR(RT_H1_C1&lt;=Z$25,TRUE)+(AH3&gt;=$L$26),TRUE,FALSE),NA())</f>
        <v>0</v>
      </c>
      <c r="AH26" s="49"/>
      <c r="AI26" s="43"/>
      <c r="AJ26" s="28" t="s">
        <v>159</v>
      </c>
      <c r="AK26" s="17" t="b">
        <f>IF(Capas_AT1_C1&gt;0,IF(IFERROR(RT_H1_C1&lt;=AK$25,TRUE)+(AS3&gt;=$L$26),TRUE,FALSE),NA())</f>
        <v>0</v>
      </c>
      <c r="AS26" s="49"/>
      <c r="AT26" s="43"/>
      <c r="AU26" s="28" t="s">
        <v>159</v>
      </c>
      <c r="AV26" s="17" t="b">
        <f>IF(Capas_AT1_C1&gt;0,IF(IFERROR(RT_H1_C1&lt;=AV$25,TRUE)+(BD3&gt;=$L$26),TRUE,FALSE),NA())</f>
        <v>0</v>
      </c>
      <c r="BD26" s="49"/>
      <c r="BO26" s="49"/>
      <c r="BP26" s="75" t="s">
        <v>278</v>
      </c>
      <c r="BQ26" s="17">
        <f>Seccion1!φsicr_C2</f>
        <v>1</v>
      </c>
      <c r="BR26" s="43"/>
      <c r="BS26" s="28" t="s">
        <v>159</v>
      </c>
      <c r="BT26" s="17" t="b">
        <f>IF(Capas_AT1_C2&gt;0,IF(IFERROR(RT_H1_C2&lt;=BT$25,TRUE)+(CB3&gt;=$BQ$26),TRUE,FALSE),NA())</f>
        <v>0</v>
      </c>
      <c r="CB26" s="49"/>
      <c r="CC26" s="43"/>
      <c r="CD26" s="28" t="s">
        <v>159</v>
      </c>
      <c r="CE26" s="17" t="b">
        <f>IF(Capas_AT1_C2&gt;0,IF(IFERROR(RT_H1_C2&lt;=CE$25,TRUE)+(CM3&gt;=$BQ$26),TRUE,FALSE),NA())</f>
        <v>0</v>
      </c>
      <c r="CM26" s="49"/>
      <c r="CN26" s="43"/>
      <c r="CO26" s="28" t="s">
        <v>159</v>
      </c>
      <c r="CP26" s="17" t="b">
        <f>IF(Capas_AT1_C2&gt;0,IF(IFERROR(RT_H1_C2&lt;=CP$25,TRUE)+(CX3&gt;=$BQ$26),TRUE,FALSE),NA())</f>
        <v>0</v>
      </c>
      <c r="CX26" s="49"/>
      <c r="CY26" s="43"/>
      <c r="CZ26" s="28" t="s">
        <v>159</v>
      </c>
      <c r="DA26" s="17" t="b">
        <f>IF(Capas_AT1_C2&gt;0,IF(IFERROR(RT_H1_C2&lt;=DA$25,TRUE)+(DI3&gt;=$BQ$26),TRUE,FALSE),NA())</f>
        <v>0</v>
      </c>
      <c r="DI26" s="49"/>
    </row>
    <row r="27" spans="1:113" ht="15.75" thickBot="1" x14ac:dyDescent="0.3">
      <c r="K27" s="57"/>
      <c r="L27" s="61"/>
      <c r="M27" s="57"/>
      <c r="N27" s="115" t="s">
        <v>161</v>
      </c>
      <c r="O27" s="58">
        <f>δ_0*(Pi_HR_1_H1_C1-Pe_H1_C1)/Sd_T_H1_C1</f>
        <v>1.9505367762513935E-8</v>
      </c>
      <c r="P27" s="58" t="s">
        <v>585</v>
      </c>
      <c r="Q27" s="58"/>
      <c r="R27" s="58"/>
      <c r="S27" s="58"/>
      <c r="T27" s="58"/>
      <c r="U27" s="58"/>
      <c r="V27" s="58"/>
      <c r="W27" s="61"/>
      <c r="X27" s="57"/>
      <c r="Y27" s="115" t="s">
        <v>161</v>
      </c>
      <c r="Z27" s="84">
        <f>δ_0*(Pi_HR_2_H1_C1-Pe_H1_C1)/Sd_T_H1_C1</f>
        <v>2.4449853618075604E-8</v>
      </c>
      <c r="AA27" s="58"/>
      <c r="AB27" s="58"/>
      <c r="AC27" s="58"/>
      <c r="AD27" s="58"/>
      <c r="AE27" s="58"/>
      <c r="AF27" s="58"/>
      <c r="AG27" s="58"/>
      <c r="AH27" s="61"/>
      <c r="AI27" s="57"/>
      <c r="AJ27" s="115" t="s">
        <v>161</v>
      </c>
      <c r="AK27" s="84">
        <f>δ_0*(Pi_HR_3_H1_C1-Pe_H1_C1)/Sd_T_H1_C1</f>
        <v>2.6922096545856439E-8</v>
      </c>
      <c r="AL27" s="58"/>
      <c r="AM27" s="58"/>
      <c r="AN27" s="58"/>
      <c r="AO27" s="58"/>
      <c r="AP27" s="58"/>
      <c r="AQ27" s="58"/>
      <c r="AR27" s="58"/>
      <c r="AS27" s="61"/>
      <c r="AT27" s="57"/>
      <c r="AU27" s="115" t="s">
        <v>161</v>
      </c>
      <c r="AV27" s="84">
        <f>δ_0*(Pi_HR_4_H1_C1-Pe_H1_C1)/Sd_T_H1_C1</f>
        <v>3.1885644391604277E-9</v>
      </c>
      <c r="AW27" s="58"/>
      <c r="AX27" s="58"/>
      <c r="AY27" s="58"/>
      <c r="AZ27" s="58"/>
      <c r="BA27" s="58"/>
      <c r="BB27" s="58"/>
      <c r="BC27" s="58"/>
      <c r="BD27" s="61"/>
      <c r="BO27" s="49"/>
      <c r="BP27" s="57"/>
      <c r="BQ27" s="61"/>
      <c r="BR27" s="57"/>
      <c r="BS27" s="115" t="s">
        <v>161</v>
      </c>
      <c r="BT27" s="84">
        <f>δ_0*(Pi_HR_1_H1_C2-Pe_H1_C2)/Sd_T_H1_C2</f>
        <v>5.4466290829964265E-9</v>
      </c>
      <c r="BU27" s="58"/>
      <c r="BV27" s="58"/>
      <c r="BW27" s="58"/>
      <c r="BX27" s="58"/>
      <c r="BY27" s="58"/>
      <c r="BZ27" s="58"/>
      <c r="CA27" s="58"/>
      <c r="CB27" s="61"/>
      <c r="CC27" s="57"/>
      <c r="CD27" s="115" t="s">
        <v>161</v>
      </c>
      <c r="CE27" s="84">
        <f>δ_0*(Pi_HR_2_H1_C2-Pe_H1_C2)/Sd_T_H1_C2</f>
        <v>6.8273146865318353E-9</v>
      </c>
      <c r="CF27" s="58"/>
      <c r="CG27" s="58"/>
      <c r="CH27" s="58"/>
      <c r="CI27" s="58"/>
      <c r="CJ27" s="58"/>
      <c r="CK27" s="58"/>
      <c r="CL27" s="58"/>
      <c r="CM27" s="61"/>
      <c r="CN27" s="57"/>
      <c r="CO27" s="115" t="s">
        <v>161</v>
      </c>
      <c r="CP27" s="84">
        <f>δ_0*(Pi_HR_3_H1_C2-Pe_H1_C2)/Sd_T_H1_C2</f>
        <v>7.5176574882995401E-9</v>
      </c>
      <c r="CQ27" s="58"/>
      <c r="CR27" s="58"/>
      <c r="CS27" s="58"/>
      <c r="CT27" s="58"/>
      <c r="CU27" s="58"/>
      <c r="CV27" s="58"/>
      <c r="CW27" s="58"/>
      <c r="CX27" s="61"/>
      <c r="CY27" s="57"/>
      <c r="CZ27" s="115" t="s">
        <v>161</v>
      </c>
      <c r="DA27" s="58">
        <f>δ_0*(Pi_HR_4_H1_C2-Pe_H1_C2)/Sd_T_H1_C2</f>
        <v>9.0364116521884986E-9</v>
      </c>
      <c r="DB27" s="58"/>
      <c r="DC27" s="58"/>
      <c r="DD27" s="58"/>
      <c r="DE27" s="58"/>
      <c r="DF27" s="58"/>
      <c r="DG27" s="58"/>
      <c r="DH27" s="58"/>
      <c r="DI27" s="61"/>
    </row>
    <row r="28" spans="1:113" s="85" customFormat="1" x14ac:dyDescent="0.25"/>
    <row r="29" spans="1:113" ht="15.75" thickBot="1" x14ac:dyDescent="0.3">
      <c r="A29" s="86" t="s">
        <v>290</v>
      </c>
      <c r="B29" s="86"/>
      <c r="C29" s="86"/>
      <c r="D29" s="86"/>
      <c r="E29" s="86"/>
      <c r="F29" s="86"/>
      <c r="G29" s="86"/>
      <c r="H29" s="86"/>
      <c r="I29" s="86"/>
      <c r="J29" s="86"/>
      <c r="K29" s="86"/>
      <c r="L29" s="86"/>
      <c r="M29" s="86"/>
      <c r="N29" s="86"/>
      <c r="O29" s="86"/>
      <c r="P29" s="86"/>
      <c r="Q29" s="87"/>
      <c r="R29" s="87"/>
      <c r="S29" s="87"/>
      <c r="T29" s="87"/>
      <c r="U29" s="87"/>
      <c r="V29" s="87"/>
      <c r="W29" s="87"/>
      <c r="X29" s="86"/>
      <c r="Y29" s="87"/>
      <c r="Z29" s="87"/>
      <c r="AA29" s="87"/>
      <c r="AB29" s="87"/>
      <c r="AC29" s="87"/>
      <c r="AD29" s="87"/>
      <c r="AE29" s="87"/>
      <c r="AF29" s="87"/>
      <c r="AG29" s="87"/>
      <c r="AH29" s="87"/>
      <c r="AI29" s="86"/>
      <c r="AJ29" s="87"/>
      <c r="AK29" s="87"/>
      <c r="AL29" s="87"/>
      <c r="AM29" s="87"/>
      <c r="AN29" s="86"/>
      <c r="AO29" s="86"/>
      <c r="AP29" s="86"/>
      <c r="AQ29" s="86"/>
      <c r="AR29" s="86"/>
      <c r="AS29" s="87"/>
      <c r="AT29" s="86"/>
      <c r="AU29" s="86"/>
      <c r="AV29" s="86"/>
      <c r="AW29" s="86"/>
      <c r="AX29" s="86"/>
      <c r="AY29" s="86"/>
      <c r="AZ29" s="86"/>
      <c r="BA29" s="86"/>
      <c r="BB29" s="86"/>
      <c r="BC29" s="86"/>
      <c r="BD29" s="87"/>
      <c r="BF29" s="86" t="s">
        <v>291</v>
      </c>
      <c r="BG29" s="86"/>
      <c r="BH29" s="86"/>
      <c r="BI29" s="86"/>
      <c r="BJ29" s="86"/>
      <c r="BK29" s="86"/>
      <c r="BL29" s="86"/>
      <c r="BM29" s="86"/>
      <c r="BN29" s="86"/>
      <c r="BO29" s="86"/>
      <c r="BP29" s="86"/>
      <c r="BQ29" s="86"/>
      <c r="BR29" s="86"/>
      <c r="BS29" s="86"/>
      <c r="BT29" s="86"/>
      <c r="BU29" s="86"/>
      <c r="BV29" s="86"/>
      <c r="BW29" s="86"/>
      <c r="BX29" s="86"/>
      <c r="BY29" s="86"/>
      <c r="BZ29" s="86"/>
      <c r="CA29" s="86"/>
      <c r="CB29" s="87"/>
      <c r="CC29" s="86"/>
      <c r="CD29" s="86"/>
      <c r="CE29" s="86"/>
      <c r="CF29" s="86"/>
      <c r="CG29" s="86"/>
      <c r="CH29" s="86"/>
      <c r="CI29" s="86"/>
      <c r="CJ29" s="86"/>
      <c r="CK29" s="86"/>
      <c r="CL29" s="86"/>
      <c r="CM29" s="87"/>
      <c r="CN29" s="86"/>
      <c r="CO29" s="86"/>
      <c r="CP29" s="86"/>
      <c r="CQ29" s="86"/>
      <c r="CR29" s="86"/>
      <c r="CS29" s="86"/>
      <c r="CT29" s="86"/>
      <c r="CU29" s="86"/>
      <c r="CV29" s="86"/>
      <c r="CW29" s="86"/>
      <c r="CX29" s="87"/>
      <c r="CY29" s="86"/>
      <c r="CZ29" s="86"/>
      <c r="DA29" s="86"/>
      <c r="DB29" s="86"/>
      <c r="DC29" s="86"/>
      <c r="DD29" s="86"/>
      <c r="DE29" s="86"/>
      <c r="DF29" s="86"/>
      <c r="DG29" s="86"/>
      <c r="DH29" s="86"/>
      <c r="DI29" s="87"/>
    </row>
    <row r="30" spans="1:113" ht="15.75" thickBot="1" x14ac:dyDescent="0.3">
      <c r="G30" s="28"/>
      <c r="H30" s="28"/>
      <c r="I30" s="28"/>
      <c r="J30" s="28"/>
      <c r="K30" s="29" t="s">
        <v>179</v>
      </c>
      <c r="L30" s="30"/>
      <c r="M30" s="110"/>
      <c r="N30" s="34" t="s">
        <v>163</v>
      </c>
      <c r="O30" s="31">
        <f>P_sat_i_AT2_C1*$Q$30</f>
        <v>1427.4983081009464</v>
      </c>
      <c r="P30" s="34" t="s">
        <v>267</v>
      </c>
      <c r="Q30" s="30">
        <f>VLOOKUP(1,φi[],2,FALSE)</f>
        <v>0.65</v>
      </c>
      <c r="X30" s="110"/>
      <c r="Y30" s="34" t="s">
        <v>164</v>
      </c>
      <c r="Z30" s="31">
        <f>P_sat_i_AT2_C1*$AH$30</f>
        <v>1647.1134324241689</v>
      </c>
      <c r="AA30" s="34"/>
      <c r="AB30" s="34"/>
      <c r="AC30" s="32"/>
      <c r="AD30" s="32"/>
      <c r="AE30" s="32"/>
      <c r="AF30" s="32"/>
      <c r="AG30" s="34" t="s">
        <v>268</v>
      </c>
      <c r="AH30" s="30">
        <f>VLOOKUP(2,φi[],2,FALSE)</f>
        <v>0.75</v>
      </c>
      <c r="AI30" s="110"/>
      <c r="AJ30" s="34" t="s">
        <v>165</v>
      </c>
      <c r="AK30" s="31">
        <f>P_sat_i_AT2_C1*$AS$30</f>
        <v>1756.9209945857801</v>
      </c>
      <c r="AL30" s="32"/>
      <c r="AM30" s="34"/>
      <c r="AN30" s="34"/>
      <c r="AO30" s="34"/>
      <c r="AP30" s="34"/>
      <c r="AQ30" s="34"/>
      <c r="AR30" s="34" t="s">
        <v>269</v>
      </c>
      <c r="AS30" s="116">
        <f>VLOOKUP(3,φi[],2,FALSE)</f>
        <v>0.8</v>
      </c>
      <c r="AT30" s="110"/>
      <c r="AU30" s="34" t="s">
        <v>166</v>
      </c>
      <c r="AV30" s="31">
        <f>P_sat_i_AT2_C1*$BD$30</f>
        <v>1032.1910843191463</v>
      </c>
      <c r="AW30" s="32"/>
      <c r="AX30" s="34"/>
      <c r="AY30" s="34"/>
      <c r="AZ30" s="34"/>
      <c r="BA30" s="34"/>
      <c r="BB30" s="34"/>
      <c r="BC30" s="34" t="s">
        <v>154</v>
      </c>
      <c r="BD30" s="30">
        <f>Seccion2!φi_C1</f>
        <v>0.47000000000000025</v>
      </c>
      <c r="BF30" s="35"/>
      <c r="BG30" s="35"/>
      <c r="BJ30" s="35"/>
      <c r="BK30" s="35"/>
      <c r="BL30" s="35"/>
      <c r="BM30" s="35"/>
      <c r="BN30" s="35"/>
      <c r="BO30" s="35"/>
      <c r="BP30" s="36" t="s">
        <v>179</v>
      </c>
      <c r="BQ30" s="30"/>
      <c r="BR30" s="110"/>
      <c r="BS30" s="34" t="s">
        <v>163</v>
      </c>
      <c r="BT30" s="31">
        <f>P_sat_i_AT2_C2*VLOOKUP(1,φi[],2,FALSE)</f>
        <v>1427.4983081009464</v>
      </c>
      <c r="BU30" s="32"/>
      <c r="BV30" s="32"/>
      <c r="BW30" s="32"/>
      <c r="BX30" s="32"/>
      <c r="BY30" s="32"/>
      <c r="BZ30" s="32"/>
      <c r="CA30" s="34" t="s">
        <v>267</v>
      </c>
      <c r="CB30" s="116">
        <f>VLOOKUP(1,φi[],2,FALSE)</f>
        <v>0.65</v>
      </c>
      <c r="CC30" s="110"/>
      <c r="CD30" s="34" t="s">
        <v>164</v>
      </c>
      <c r="CE30" s="31">
        <f>P_sat_i_AT2_C1*VLOOKUP(2,φi[],2,FALSE)</f>
        <v>1647.1134324241689</v>
      </c>
      <c r="CF30" s="34"/>
      <c r="CG30" s="32"/>
      <c r="CH30" s="32"/>
      <c r="CI30" s="32"/>
      <c r="CJ30" s="32"/>
      <c r="CK30" s="32"/>
      <c r="CL30" s="34" t="s">
        <v>268</v>
      </c>
      <c r="CM30" s="116">
        <f>VLOOKUP(2,φi[],2,FALSE)</f>
        <v>0.75</v>
      </c>
      <c r="CN30" s="110"/>
      <c r="CO30" s="34" t="s">
        <v>165</v>
      </c>
      <c r="CP30" s="31">
        <f>P_sat_i_AT2_C1*VLOOKUP(3,φi[],2,FALSE)</f>
        <v>1756.9209945857801</v>
      </c>
      <c r="CQ30" s="32"/>
      <c r="CR30" s="32"/>
      <c r="CS30" s="32"/>
      <c r="CT30" s="32"/>
      <c r="CU30" s="32"/>
      <c r="CV30" s="32"/>
      <c r="CW30" s="34" t="s">
        <v>269</v>
      </c>
      <c r="CX30" s="116">
        <f>VLOOKUP(3,φi[],2,FALSE)</f>
        <v>0.8</v>
      </c>
      <c r="CY30" s="110"/>
      <c r="CZ30" s="34" t="s">
        <v>166</v>
      </c>
      <c r="DA30" s="31">
        <f>P_sat_i_AT2_C2*$DI$30</f>
        <v>0</v>
      </c>
      <c r="DB30" s="34"/>
      <c r="DC30" s="32"/>
      <c r="DD30" s="32"/>
      <c r="DE30" s="32"/>
      <c r="DF30" s="32"/>
      <c r="DG30" s="32"/>
      <c r="DH30" s="34" t="s">
        <v>154</v>
      </c>
      <c r="DI30" s="213">
        <f>Seccion2!φi_C2</f>
        <v>0</v>
      </c>
    </row>
    <row r="31" spans="1:113" x14ac:dyDescent="0.25">
      <c r="A31" s="37"/>
      <c r="B31" s="38"/>
      <c r="C31" s="39" t="s">
        <v>114</v>
      </c>
      <c r="D31" s="39" t="s">
        <v>115</v>
      </c>
      <c r="E31" s="40" t="s">
        <v>28</v>
      </c>
      <c r="F31" s="40" t="s">
        <v>184</v>
      </c>
      <c r="G31" s="40" t="s">
        <v>116</v>
      </c>
      <c r="H31" s="40" t="s">
        <v>117</v>
      </c>
      <c r="I31" s="40" t="s">
        <v>118</v>
      </c>
      <c r="J31" s="41" t="s">
        <v>119</v>
      </c>
      <c r="K31" s="42" t="s">
        <v>120</v>
      </c>
      <c r="L31" s="41" t="s">
        <v>121</v>
      </c>
      <c r="M31" s="42" t="s">
        <v>265</v>
      </c>
      <c r="N31" s="40" t="s">
        <v>146</v>
      </c>
      <c r="O31" s="40" t="s">
        <v>147</v>
      </c>
      <c r="P31" s="40" t="s">
        <v>167</v>
      </c>
      <c r="Q31" s="41" t="s">
        <v>266</v>
      </c>
      <c r="R31" s="40" t="s">
        <v>170</v>
      </c>
      <c r="S31" s="40" t="s">
        <v>178</v>
      </c>
      <c r="T31" s="40" t="s">
        <v>169</v>
      </c>
      <c r="U31" s="40" t="s">
        <v>168</v>
      </c>
      <c r="V31" s="40" t="s">
        <v>175</v>
      </c>
      <c r="W31" s="40" t="s">
        <v>176</v>
      </c>
      <c r="X31" s="42" t="s">
        <v>265</v>
      </c>
      <c r="Y31" s="40" t="s">
        <v>148</v>
      </c>
      <c r="Z31" s="40" t="s">
        <v>149</v>
      </c>
      <c r="AA31" s="40" t="s">
        <v>170</v>
      </c>
      <c r="AB31" s="40" t="s">
        <v>178</v>
      </c>
      <c r="AC31" s="40" t="s">
        <v>169</v>
      </c>
      <c r="AD31" s="40" t="s">
        <v>168</v>
      </c>
      <c r="AE31" s="40" t="s">
        <v>175</v>
      </c>
      <c r="AF31" s="40" t="s">
        <v>176</v>
      </c>
      <c r="AG31" s="40" t="s">
        <v>171</v>
      </c>
      <c r="AH31" s="41" t="s">
        <v>266</v>
      </c>
      <c r="AI31" s="42" t="s">
        <v>265</v>
      </c>
      <c r="AJ31" s="40" t="s">
        <v>150</v>
      </c>
      <c r="AK31" s="40" t="s">
        <v>151</v>
      </c>
      <c r="AL31" s="40" t="s">
        <v>170</v>
      </c>
      <c r="AM31" s="40" t="s">
        <v>178</v>
      </c>
      <c r="AN31" s="40" t="s">
        <v>169</v>
      </c>
      <c r="AO31" s="40" t="s">
        <v>168</v>
      </c>
      <c r="AP31" s="40" t="s">
        <v>175</v>
      </c>
      <c r="AQ31" s="40" t="s">
        <v>176</v>
      </c>
      <c r="AR31" s="40" t="s">
        <v>172</v>
      </c>
      <c r="AS31" s="41" t="s">
        <v>266</v>
      </c>
      <c r="AT31" s="42" t="s">
        <v>265</v>
      </c>
      <c r="AU31" s="40" t="s">
        <v>152</v>
      </c>
      <c r="AV31" s="40" t="s">
        <v>153</v>
      </c>
      <c r="AW31" s="40" t="s">
        <v>170</v>
      </c>
      <c r="AX31" s="40" t="s">
        <v>178</v>
      </c>
      <c r="AY31" s="40" t="s">
        <v>169</v>
      </c>
      <c r="AZ31" s="40" t="s">
        <v>168</v>
      </c>
      <c r="BA31" s="40" t="s">
        <v>175</v>
      </c>
      <c r="BB31" s="40" t="s">
        <v>176</v>
      </c>
      <c r="BC31" s="40" t="s">
        <v>177</v>
      </c>
      <c r="BD31" s="41" t="s">
        <v>266</v>
      </c>
      <c r="BF31" s="37"/>
      <c r="BG31" s="38"/>
      <c r="BH31" s="39" t="s">
        <v>114</v>
      </c>
      <c r="BI31" s="39" t="s">
        <v>115</v>
      </c>
      <c r="BJ31" s="40" t="s">
        <v>28</v>
      </c>
      <c r="BK31" s="40" t="s">
        <v>184</v>
      </c>
      <c r="BL31" s="40" t="s">
        <v>116</v>
      </c>
      <c r="BM31" s="40" t="s">
        <v>117</v>
      </c>
      <c r="BN31" s="40" t="s">
        <v>118</v>
      </c>
      <c r="BO31" s="41" t="s">
        <v>119</v>
      </c>
      <c r="BP31" s="42" t="s">
        <v>120</v>
      </c>
      <c r="BQ31" s="41" t="s">
        <v>121</v>
      </c>
      <c r="BR31" s="42" t="s">
        <v>265</v>
      </c>
      <c r="BS31" s="35" t="s">
        <v>146</v>
      </c>
      <c r="BT31" s="35" t="s">
        <v>147</v>
      </c>
      <c r="BU31" s="35" t="s">
        <v>170</v>
      </c>
      <c r="BV31" s="35" t="s">
        <v>178</v>
      </c>
      <c r="BW31" s="35" t="s">
        <v>169</v>
      </c>
      <c r="BX31" s="35" t="s">
        <v>168</v>
      </c>
      <c r="BY31" s="35" t="s">
        <v>175</v>
      </c>
      <c r="BZ31" s="35" t="s">
        <v>176</v>
      </c>
      <c r="CA31" s="35" t="s">
        <v>167</v>
      </c>
      <c r="CB31" s="41" t="s">
        <v>266</v>
      </c>
      <c r="CC31" s="42" t="s">
        <v>265</v>
      </c>
      <c r="CD31" s="40" t="s">
        <v>148</v>
      </c>
      <c r="CE31" s="40" t="s">
        <v>149</v>
      </c>
      <c r="CF31" s="40" t="s">
        <v>170</v>
      </c>
      <c r="CG31" s="40" t="s">
        <v>178</v>
      </c>
      <c r="CH31" s="40" t="s">
        <v>169</v>
      </c>
      <c r="CI31" s="40" t="s">
        <v>168</v>
      </c>
      <c r="CJ31" s="40" t="s">
        <v>175</v>
      </c>
      <c r="CK31" s="40" t="s">
        <v>176</v>
      </c>
      <c r="CL31" s="40" t="s">
        <v>171</v>
      </c>
      <c r="CM31" s="41" t="s">
        <v>266</v>
      </c>
      <c r="CN31" s="42" t="s">
        <v>265</v>
      </c>
      <c r="CO31" s="35" t="s">
        <v>150</v>
      </c>
      <c r="CP31" s="35" t="s">
        <v>151</v>
      </c>
      <c r="CQ31" s="35" t="s">
        <v>170</v>
      </c>
      <c r="CR31" s="35" t="s">
        <v>178</v>
      </c>
      <c r="CS31" s="35" t="s">
        <v>169</v>
      </c>
      <c r="CT31" s="35" t="s">
        <v>168</v>
      </c>
      <c r="CU31" s="35" t="s">
        <v>175</v>
      </c>
      <c r="CV31" s="35" t="s">
        <v>176</v>
      </c>
      <c r="CW31" s="35" t="s">
        <v>171</v>
      </c>
      <c r="CX31" s="41" t="s">
        <v>266</v>
      </c>
      <c r="CY31" s="42" t="s">
        <v>265</v>
      </c>
      <c r="CZ31" s="40" t="s">
        <v>152</v>
      </c>
      <c r="DA31" s="40" t="s">
        <v>153</v>
      </c>
      <c r="DB31" s="40" t="s">
        <v>170</v>
      </c>
      <c r="DC31" s="40" t="s">
        <v>178</v>
      </c>
      <c r="DD31" s="40" t="s">
        <v>169</v>
      </c>
      <c r="DE31" s="40" t="s">
        <v>168</v>
      </c>
      <c r="DF31" s="40" t="s">
        <v>175</v>
      </c>
      <c r="DG31" s="40" t="s">
        <v>176</v>
      </c>
      <c r="DH31" s="40" t="s">
        <v>171</v>
      </c>
      <c r="DI31" s="41" t="s">
        <v>266</v>
      </c>
    </row>
    <row r="32" spans="1:113" x14ac:dyDescent="0.25">
      <c r="A32" s="43"/>
      <c r="B32" s="15" t="s">
        <v>103</v>
      </c>
      <c r="C32" s="44" t="s">
        <v>107</v>
      </c>
      <c r="D32" s="44" t="s">
        <v>107</v>
      </c>
      <c r="E32" s="44" t="s">
        <v>107</v>
      </c>
      <c r="F32" s="44" t="s">
        <v>107</v>
      </c>
      <c r="G32" s="44" t="s">
        <v>107</v>
      </c>
      <c r="H32" s="44" t="s">
        <v>107</v>
      </c>
      <c r="I32" s="44" t="s">
        <v>107</v>
      </c>
      <c r="J32" s="45" t="s">
        <v>107</v>
      </c>
      <c r="K32" s="46" t="e">
        <f>ϴe_H2_C1</f>
        <v>#N/A</v>
      </c>
      <c r="L32" s="47" t="e">
        <f t="array" ref="L32:L45">IF(ISNUMBER(ϴn_H2_C1),IF(ϴn_H2_C1&gt;=0,610.5*EXP((17.269*ϴn_H2_C1)/(237.3+ϴn_H2_C1)),610.5*EXP((21.875*ϴn_H2_C1)/(265.5+ϴn_H2_C1))),NA())</f>
        <v>#N/A</v>
      </c>
      <c r="M32" s="54"/>
      <c r="N32" s="44" t="s">
        <v>107</v>
      </c>
      <c r="O32" s="44"/>
      <c r="Q32" s="49"/>
      <c r="T32" s="48"/>
      <c r="U32" s="48"/>
      <c r="V32" s="48"/>
      <c r="W32" s="48"/>
      <c r="X32" s="54"/>
      <c r="Y32" s="44" t="s">
        <v>107</v>
      </c>
      <c r="Z32" s="44"/>
      <c r="AC32" s="48"/>
      <c r="AD32" s="48"/>
      <c r="AE32" s="48"/>
      <c r="AF32" s="48"/>
      <c r="AH32" s="49"/>
      <c r="AI32" s="54"/>
      <c r="AJ32" s="44" t="s">
        <v>107</v>
      </c>
      <c r="AK32" s="44"/>
      <c r="AN32" s="48"/>
      <c r="AO32" s="48"/>
      <c r="AP32" s="48"/>
      <c r="AQ32" s="48"/>
      <c r="AS32" s="49"/>
      <c r="AT32" s="54"/>
      <c r="AU32" s="44" t="s">
        <v>107</v>
      </c>
      <c r="AV32" s="44"/>
      <c r="AY32" s="48"/>
      <c r="AZ32" s="48"/>
      <c r="BA32" s="48"/>
      <c r="BB32" s="48"/>
      <c r="BD32" s="49"/>
      <c r="BF32" s="43"/>
      <c r="BG32" s="15" t="s">
        <v>103</v>
      </c>
      <c r="BH32" s="44" t="s">
        <v>107</v>
      </c>
      <c r="BI32" s="44" t="s">
        <v>107</v>
      </c>
      <c r="BJ32" s="44" t="s">
        <v>107</v>
      </c>
      <c r="BK32" s="44" t="s">
        <v>107</v>
      </c>
      <c r="BL32" s="44" t="s">
        <v>107</v>
      </c>
      <c r="BM32" s="44" t="s">
        <v>107</v>
      </c>
      <c r="BN32" s="44" t="s">
        <v>107</v>
      </c>
      <c r="BO32" s="45" t="s">
        <v>107</v>
      </c>
      <c r="BP32" s="46" t="e">
        <f>ϴe_H2_C2</f>
        <v>#N/A</v>
      </c>
      <c r="BQ32" s="52" t="e">
        <f t="array" ref="BQ32:BQ45">IF(ISNUMBER(ϴn_H2_C2),IF(ϴn_H2_C2&gt;=0,610.5*EXP((17.269*ϴn_H2_C2)/(237.3+ϴn_H2_C2)),610.5*EXP((21.875*ϴn_H2_C2)/(265.5+ϴn_H2_C2))),NA())</f>
        <v>#N/A</v>
      </c>
      <c r="BR32" s="54"/>
      <c r="BS32" s="44" t="s">
        <v>107</v>
      </c>
      <c r="BT32" s="44"/>
      <c r="CB32" s="49"/>
      <c r="CC32" s="54"/>
      <c r="CD32" s="44" t="s">
        <v>107</v>
      </c>
      <c r="CE32" s="44"/>
      <c r="CM32" s="49"/>
      <c r="CN32" s="54"/>
      <c r="CO32" s="44" t="s">
        <v>107</v>
      </c>
      <c r="CP32" s="44"/>
      <c r="CQ32" s="50"/>
      <c r="CX32" s="49"/>
      <c r="CY32" s="54"/>
      <c r="CZ32" s="44" t="s">
        <v>107</v>
      </c>
      <c r="DA32" s="44"/>
      <c r="DI32" s="49"/>
    </row>
    <row r="33" spans="1:113" x14ac:dyDescent="0.25">
      <c r="A33" s="43"/>
      <c r="B33" s="15" t="s">
        <v>106</v>
      </c>
      <c r="C33" s="44" t="s">
        <v>107</v>
      </c>
      <c r="D33" s="48">
        <f>Rse_H2</f>
        <v>0.04</v>
      </c>
      <c r="E33" s="44" t="s">
        <v>107</v>
      </c>
      <c r="F33" s="44" t="s">
        <v>107</v>
      </c>
      <c r="G33" s="51">
        <v>0</v>
      </c>
      <c r="H33" s="48">
        <f>IF(B33="",NA(),SUM($D$33:$D33))</f>
        <v>0.04</v>
      </c>
      <c r="I33" s="50">
        <v>0</v>
      </c>
      <c r="J33" s="52">
        <f>IF(I33="",NA(),SUM($I$33:$I33))</f>
        <v>0</v>
      </c>
      <c r="K33" s="53" t="e">
        <f t="array" ref="K33:K45">ϴe_H2_C1+Rn_H2_C1*(ϴi_H2_C1-ϴe_H2_C1)/RT_H2_C1</f>
        <v>#N/A</v>
      </c>
      <c r="L33" s="47" t="e">
        <v>#N/A</v>
      </c>
      <c r="M33" s="54" t="e">
        <f>6.54+14.526*LN(N33/1000)+0.7389*LN(N33/1000)^2+0.09486*LN(N33/1000)^3+0.4569*(N33/1000)^0.1984</f>
        <v>#N/A</v>
      </c>
      <c r="N33" s="51" t="e">
        <f t="array" ref="N33:N45">IFERROR(((Pi_HR_1_H2_C1-Pe_H2_C1)/(Sd_T_H2_C1-$J$33))*$J$33:$J$45+Pe_H2_C1,NA())</f>
        <v>#N/A</v>
      </c>
      <c r="O33" s="55" t="e">
        <f t="array" ref="O33:O45">IF(N33:N45&gt;=$L$33:$L$45,1,0)</f>
        <v>#N/A</v>
      </c>
      <c r="P33" s="51" t="e">
        <f t="shared" ref="P33:P45" ca="1" si="58">IF(ISNA(S33),
_xlfn.FORECAST.LINEAR($J33,INDIRECT(V33),INDIRECT(W33)),S33)</f>
        <v>#N/A</v>
      </c>
      <c r="Q33" s="47"/>
      <c r="R33" s="55">
        <f t="array" ref="R33">SUM(IF(ISNUMBER(S$33:S33),1,0))+IF($A33&gt;Capas_AT2_C1,1,0)</f>
        <v>0</v>
      </c>
      <c r="S33" s="51" t="e">
        <f>IF(O33=1,$L33,Pe_H2_C1)</f>
        <v>#N/A</v>
      </c>
      <c r="T33" s="51" t="e">
        <f t="shared" ref="T33:T45" si="59">VLOOKUP($A34,R$33:S$45,2,FALSE)</f>
        <v>#N/A</v>
      </c>
      <c r="U33" s="51" t="e">
        <f t="shared" ref="U33:U45" si="60">INDEX($J$33:$J$45,MATCH(T33,S$33:S$45,0))</f>
        <v>#N/A</v>
      </c>
      <c r="V33" s="48" t="str">
        <f t="shared" ref="V33:V45" si="61">CONCATENATE(ADDRESS(ROW(T$33)-1+R33,COLUMN(T$33)),":",ADDRESS(ROW(T$33)+R33,COLUMN(T$33)))</f>
        <v>$T$32:$T$33</v>
      </c>
      <c r="W33" s="48" t="str">
        <f t="shared" ref="W33:W45" si="62">CONCATENATE(ADDRESS(ROW(U$33)-1+R33,COLUMN(U$33)),":",ADDRESS(ROW(U$33)+R33,COLUMN(U$33)))</f>
        <v>$U$32:$U$33</v>
      </c>
      <c r="X33" s="54" t="e">
        <f>6.54+14.526*LN(Y33/1000)+0.7389*LN(Y33/1000)^2+0.09486*LN(Y33/1000)^3+0.4569*(Y33/1000)^0.1984</f>
        <v>#N/A</v>
      </c>
      <c r="Y33" s="50" t="e">
        <f t="array" ref="Y33:Y45">IFERROR(((Pi_HR_2_H2_C1-Pe_H2_C1)/(Sd_T_H2_C1-$J$33))*$J$33:$J$45+Pe_H2_C1,NA())</f>
        <v>#N/A</v>
      </c>
      <c r="Z33" s="55" t="e">
        <f t="array" ref="Z33:Z45">IF(Y33:Y45&gt;=$L$33:$L$45,1,0)</f>
        <v>#N/A</v>
      </c>
      <c r="AA33" s="55">
        <f t="array" ref="AA33">SUM(IF(ISNUMBER(AB$33:AB33),1,0))+IF($A33&gt;Capas_AT2_C1,1,0)</f>
        <v>0</v>
      </c>
      <c r="AB33" s="51" t="e">
        <f>IF(Y33=1,$L33,Pe_H2_C1)</f>
        <v>#N/A</v>
      </c>
      <c r="AC33" s="51" t="e">
        <f>VLOOKUP($A34,AA$33:AB$45,2,FALSE)</f>
        <v>#N/A</v>
      </c>
      <c r="AD33" s="51" t="e">
        <f>INDEX($J$33:$J$45,MATCH(AC33,AB$33:AB$45,0))</f>
        <v>#N/A</v>
      </c>
      <c r="AE33" s="48" t="str">
        <f>CONCATENATE(ADDRESS(ROW(AC$33)-1+AA33,COLUMN(AC$33)),":",ADDRESS(ROW(AC$33)+AA33,COLUMN(AC$33)))</f>
        <v>$AC$32:$AC$33</v>
      </c>
      <c r="AF33" s="48" t="str">
        <f>CONCATENATE(ADDRESS(ROW(AD$33)-1+AA33,COLUMN(AD$33)),":",ADDRESS(ROW(AD$33)+AA33,COLUMN(AD$33)))</f>
        <v>$AD$32:$AD$33</v>
      </c>
      <c r="AG33" s="50" t="e">
        <f t="shared" ref="AG33:AG45" ca="1" si="63">IF(ISNA(AB33),
_xlfn.FORECAST.LINEAR($J33,INDIRECT(AE33),INDIRECT(AF33)),AB33)</f>
        <v>#N/A</v>
      </c>
      <c r="AH33" s="47"/>
      <c r="AI33" s="54" t="e">
        <f>6.54+14.526*LN(AJ33/1000)+0.7389*LN(AJ33/1000)^2+0.09486*LN(AJ33/1000)^3+0.4569*(AJ33/1000)^0.1984</f>
        <v>#N/A</v>
      </c>
      <c r="AJ33" s="50" t="e">
        <f t="array" ref="AJ33:AJ45">IFERROR(((Pi_HR_3_H2_C1-Pe_H2_C1)/(Sd_T_H2_C1-$J$33))*$J$33:$J$45+Pe_H2_C1,NA())</f>
        <v>#N/A</v>
      </c>
      <c r="AK33" s="55" t="e">
        <f t="array" ref="AK33:AK45">IF(AJ33:AJ45&gt;=$L$33:$L$45,1,0)</f>
        <v>#N/A</v>
      </c>
      <c r="AL33" s="55">
        <f t="array" ref="AL33">SUM(IF(ISNUMBER(AM$33:AM33),1,0))+IF($A33&gt;Capas_AT2_C1,1,0)</f>
        <v>0</v>
      </c>
      <c r="AM33" s="51" t="e">
        <f>IF(AJ33=1,$L33,Pe_H2_C1)</f>
        <v>#N/A</v>
      </c>
      <c r="AN33" s="51" t="e">
        <f>VLOOKUP($A34,AL$33:AM$45,2,FALSE)</f>
        <v>#N/A</v>
      </c>
      <c r="AO33" s="51" t="e">
        <f>INDEX($J$33:$J$45,MATCH(AN33,AM$33:AM$45,0))</f>
        <v>#N/A</v>
      </c>
      <c r="AP33" s="48" t="str">
        <f>CONCATENATE(ADDRESS(ROW(AN$33)-1+AL33,COLUMN(AN$33)),":",ADDRESS(ROW(AN$33)+AL33,COLUMN(AN$33)))</f>
        <v>$AN$32:$AN$33</v>
      </c>
      <c r="AQ33" s="48" t="str">
        <f>CONCATENATE(ADDRESS(ROW(AO$33)-1+AL33,COLUMN(AO$33)),":",ADDRESS(ROW(AO$33)+AL33,COLUMN(AO$33)))</f>
        <v>$AO$32:$AO$33</v>
      </c>
      <c r="AR33" s="50" t="e">
        <f t="shared" ref="AR33:AR45" ca="1" si="64">IF(ISNA(AM33),
_xlfn.FORECAST.LINEAR($J33,INDIRECT(AP33),INDIRECT(AQ33)),AM33)</f>
        <v>#N/A</v>
      </c>
      <c r="AS33" s="47"/>
      <c r="AT33" s="54" t="e">
        <f>6.54+14.526*LN(AU33/1000)+0.7389*LN(AU33/1000)^2+0.09486*LN(AU33/1000)^3+0.4569*(AU33/1000)^0.1984</f>
        <v>#N/A</v>
      </c>
      <c r="AU33" s="50" t="e">
        <f t="array" ref="AU33:AU45">IFERROR(((Pi_HR_4_H2_C1-Pe_H2_C1)/(Sd_T_H2_C1-$J$33))*$J$33:$J$45+Pe_H2_C1,NA())</f>
        <v>#N/A</v>
      </c>
      <c r="AV33" s="55" t="e">
        <f t="array" ref="AV33:AV45">IF(AU33:AU45&gt;=$L$33:$L$45,1,0)</f>
        <v>#N/A</v>
      </c>
      <c r="AW33" s="55">
        <f t="array" ref="AW33">SUM(IF(ISNUMBER(AX$33:AX33),1,0))+IF($A33&gt;Capas_AT2_C1,1,0)</f>
        <v>0</v>
      </c>
      <c r="AX33" s="50" t="e">
        <f>IF(AU33=1,$L33,Pe_H2_C1)</f>
        <v>#N/A</v>
      </c>
      <c r="AY33" s="51" t="e">
        <f>VLOOKUP($A34,AW$33:AX$45,2,FALSE)</f>
        <v>#N/A</v>
      </c>
      <c r="AZ33" s="51" t="e">
        <f t="shared" ref="AZ33:AZ45" si="65">INDEX($J$33:$J$45,MATCH(AY33,$AX$33:$AX$45,0))</f>
        <v>#N/A</v>
      </c>
      <c r="BA33" s="48" t="str">
        <f>CONCATENATE(ADDRESS(ROW(AY$33)-1+AW33,COLUMN(AY$33)),":",ADDRESS(ROW(AY$33)+AW33,COLUMN(AY$33)))</f>
        <v>$AY$32:$AY$33</v>
      </c>
      <c r="BB33" s="48" t="str">
        <f>CONCATENATE(ADDRESS(ROW(AZ$33)-1+AW33,COLUMN(AZ$33)),":",ADDRESS(ROW(AZ$33)+AW33,COLUMN(AZ$33)))</f>
        <v>$AZ$32:$AZ$33</v>
      </c>
      <c r="BC33" s="50" t="e">
        <f t="shared" ref="BC33:BC45" ca="1" si="66">IF(ISNA(AX33),
_xlfn.FORECAST.LINEAR($J33,INDIRECT(BA33),INDIRECT(BB33)),AX33)</f>
        <v>#N/A</v>
      </c>
      <c r="BD33" s="47"/>
      <c r="BF33" s="43"/>
      <c r="BG33" s="15" t="s">
        <v>106</v>
      </c>
      <c r="BH33" s="44" t="s">
        <v>107</v>
      </c>
      <c r="BI33" s="50">
        <f>$BN$51</f>
        <v>0.04</v>
      </c>
      <c r="BJ33" s="44" t="s">
        <v>107</v>
      </c>
      <c r="BK33" s="44" t="s">
        <v>107</v>
      </c>
      <c r="BL33" s="51">
        <v>0</v>
      </c>
      <c r="BM33" s="48">
        <f>IF(BG33="",NA(),SUM($BI$33:$BI33))</f>
        <v>0.04</v>
      </c>
      <c r="BN33" s="51">
        <v>0</v>
      </c>
      <c r="BO33" s="52">
        <f>IF(BN33="",NA(),SUM($BN$33:$BN33))</f>
        <v>0</v>
      </c>
      <c r="BP33" s="53" t="e">
        <f t="array" ref="BP33:BP45">ϴe_H2_C2+Rn_H2_C2*(ϴi_H2_C2-ϴe_H2_C2)/RT_H2_C2</f>
        <v>#N/A</v>
      </c>
      <c r="BQ33" s="52" t="e">
        <v>#N/A</v>
      </c>
      <c r="BR33" s="54" t="e">
        <f>6.54+14.526*LN(BS33/1000)+0.7389*LN(BS33/1000)^2+0.09486*LN(BS33/1000)^3+0.4569*(BS33/1000)^0.1984</f>
        <v>#N/A</v>
      </c>
      <c r="BS33" s="50" t="e">
        <f t="array" ref="BS33:BS45">IFERROR(((Pi_HR_1_H2_C2-Pe_H2_C2)/(Sd_T_H2_C2-$BO$33))*$BO$33:$BO$45+Pe_H2_C2,NA())</f>
        <v>#N/A</v>
      </c>
      <c r="BT33" s="55" t="e">
        <f t="array" ref="BT33:BT45">IF(BS33:BS45&gt;=$BQ$33:$BQ$45,1,0)</f>
        <v>#N/A</v>
      </c>
      <c r="BU33" s="55">
        <f t="array" ref="BU33">SUM(IF(ISNUMBER(BV$33:BV33),1,0))+IF($BF33&gt;Capas_AT2_C2,1,0)</f>
        <v>0</v>
      </c>
      <c r="BV33" s="51" t="e">
        <f>IF(BT33=1,$BQ33,Pe_H2_C2)</f>
        <v>#N/A</v>
      </c>
      <c r="BW33" s="51" t="e">
        <f>VLOOKUP($BF34,BU$33:BV$45,2,FALSE)</f>
        <v>#N/A</v>
      </c>
      <c r="BX33" s="51" t="e">
        <f>INDEX($BO$33:$BO$45,MATCH(BW33,BV$33:BV$45,0))</f>
        <v>#N/A</v>
      </c>
      <c r="BY33" s="48" t="str">
        <f>CONCATENATE(ADDRESS(ROW(BW$33)-1+BU33,COLUMN(BW$33)),":",ADDRESS(ROW(BW$33)+BU33,COLUMN(BW$33)))</f>
        <v>$BW$32:$BW$33</v>
      </c>
      <c r="BZ33" s="48" t="str">
        <f>CONCATENATE(ADDRESS(ROW(BX$33)-1+BU33,COLUMN(BX$33)),":",ADDRESS(ROW(BX$33)+BU33,COLUMN(BX$33)))</f>
        <v>$BX$32:$BX$33</v>
      </c>
      <c r="CA33" s="50" t="e">
        <f ca="1">IF(ISNA(BV33),
_xlfn.FORECAST.LINEAR($BO33,INDIRECT(BY33),INDIRECT(BZ33)),BV33)</f>
        <v>#N/A</v>
      </c>
      <c r="CB33" s="47"/>
      <c r="CC33" s="54" t="e">
        <f>6.54+14.526*LN(CD33/1000)+0.7389*LN(CD33/1000)^2+0.09486*LN(CD33/1000)^3+0.4569*(CD33/1000)^0.1984</f>
        <v>#N/A</v>
      </c>
      <c r="CD33" s="50" t="e">
        <f t="array" ref="CD33:CD45">IFERROR(((Pi_HR_2_H2_C2-Pe_H2_C2)/(Sd_T_H2_C2-$BO$33))*$BO$33:$BO$45+Pe_H2_C2,NA())</f>
        <v>#N/A</v>
      </c>
      <c r="CE33" s="55" t="e">
        <f t="array" ref="CE33:CE45">IF(CD33:CD45&gt;=$BQ$33:$BQ$45,1,0)</f>
        <v>#N/A</v>
      </c>
      <c r="CF33" s="55">
        <f t="array" ref="CF33">SUM(IF(ISNUMBER(CG$33:CG33),1,0))+IF($BF33&gt;Capas_AT2_C2,1,0)</f>
        <v>0</v>
      </c>
      <c r="CG33" s="51" t="e">
        <f>IF(CE33=1,$BQ33,Pe_H2_C2)</f>
        <v>#N/A</v>
      </c>
      <c r="CH33" s="51" t="e">
        <f>VLOOKUP($BF34,CF$33:CG$45,2,FALSE)</f>
        <v>#N/A</v>
      </c>
      <c r="CI33" s="51" t="e">
        <f>INDEX($BO$33:$BO$45,MATCH(CH33,CG$33:CG$45,0))</f>
        <v>#N/A</v>
      </c>
      <c r="CJ33" s="48" t="str">
        <f>CONCATENATE(ADDRESS(ROW(CH$33)-1+CF33,COLUMN(CH$33)),":",ADDRESS(ROW(CH$33)+CF33,COLUMN(CH$33)))</f>
        <v>$CH$32:$CH$33</v>
      </c>
      <c r="CK33" s="48" t="str">
        <f>CONCATENATE(ADDRESS(ROW(CI$33)-1+CF33,COLUMN(CI$33)),":",ADDRESS(ROW(CI$33)+CF33,COLUMN(CI$33)))</f>
        <v>$CI$32:$CI$33</v>
      </c>
      <c r="CL33" s="50" t="e">
        <f ca="1">IF(ISNA(CG33),
_xlfn.FORECAST.LINEAR($BO33,INDIRECT(CJ33),INDIRECT(CK33)),CG33)</f>
        <v>#N/A</v>
      </c>
      <c r="CM33" s="47"/>
      <c r="CN33" s="54" t="e">
        <f>6.54+14.526*LN(CO33/1000)+0.7389*LN(CO33/1000)^2+0.09486*LN(CO33/1000)^3+0.4569*(CO33/1000)^0.1984</f>
        <v>#N/A</v>
      </c>
      <c r="CO33" s="50" t="e">
        <f t="array" ref="CO33:CO45">IFERROR(((Pi_HR_3_H2_C2-Pe_H2_C2)/(Sd_T_H2_C2-$BO$33))*$BO$33:$BO$45+Pe_H2_C2,NA())</f>
        <v>#N/A</v>
      </c>
      <c r="CP33" s="55" t="e">
        <f t="array" ref="CP33:CP45">IF(CO33:CO45&gt;=$BQ$33:$BQ$45,1,0)</f>
        <v>#N/A</v>
      </c>
      <c r="CQ33" s="55">
        <f t="array" ref="CQ33">SUM(IF(ISNUMBER(CR$33:CR33),1,0))+IF($BF33&gt;Capas_AT2_C2,1,0)</f>
        <v>0</v>
      </c>
      <c r="CR33" s="51" t="e">
        <f>IF(CP33=1,$BQ33,Pe_H2_C2)</f>
        <v>#N/A</v>
      </c>
      <c r="CS33" s="51" t="e">
        <f>VLOOKUP($BF34,CQ$33:CR$45,2,FALSE)</f>
        <v>#N/A</v>
      </c>
      <c r="CT33" s="51" t="e">
        <f>INDEX($BO$33:$BO$45,MATCH(CS33,CR$33:CR$45,0))</f>
        <v>#N/A</v>
      </c>
      <c r="CU33" s="48" t="str">
        <f>CONCATENATE(ADDRESS(ROW(CS$33)-1+CQ33,COLUMN(CS$33)),":",ADDRESS(ROW(CS$33)+CQ33,COLUMN(CS$33)))</f>
        <v>$CS$32:$CS$33</v>
      </c>
      <c r="CV33" s="48" t="str">
        <f>CONCATENATE(ADDRESS(ROW(CT$33)-1+CQ33,COLUMN(CT$33)),":",ADDRESS(ROW(CT$33)+CQ33,COLUMN(CT$33)))</f>
        <v>$CT$32:$CT$33</v>
      </c>
      <c r="CW33" s="50" t="e">
        <f ca="1">IF(ISNA(CR33),
_xlfn.FORECAST.LINEAR($BO33,INDIRECT(CU33),INDIRECT(CV33)),CR33)</f>
        <v>#N/A</v>
      </c>
      <c r="CX33" s="47"/>
      <c r="CY33" s="54" t="e">
        <f>6.54+14.526*LN(CZ33/1000)+0.7389*LN(CZ33/1000)^2+0.09486*LN(CZ33/1000)^3+0.4569*(CZ33/1000)^0.1984</f>
        <v>#N/A</v>
      </c>
      <c r="CZ33" s="50" t="e">
        <f t="array" ref="CZ33:CZ45">IFERROR(((Pi_HR_4_H2_C2-Pe_H2_C2)/(Sd_T_H2_C2-$BO$33))*$BO$33:$BO$45+Pe_H2_C2,NA())</f>
        <v>#N/A</v>
      </c>
      <c r="DA33" s="55" t="e">
        <f t="array" ref="DA33:DA45">IF(CZ33:CZ45&gt;=$BQ$33:$BQ$45,1,0)</f>
        <v>#N/A</v>
      </c>
      <c r="DB33" s="55">
        <f t="array" ref="DB33">SUM(IF(ISNUMBER(DC$33:DC33),1,0))+IF($BF33&gt;Capas_AT2_C2,1,0)</f>
        <v>0</v>
      </c>
      <c r="DC33" s="51" t="e">
        <f>IF(DA33=1,$BQ33,Pe_H2_C2)</f>
        <v>#N/A</v>
      </c>
      <c r="DD33" s="51" t="e">
        <f>VLOOKUP($BF34,DB$33:DC$45,2,FALSE)</f>
        <v>#N/A</v>
      </c>
      <c r="DE33" s="51" t="e">
        <f>INDEX($BO$33:$BO$45,MATCH(DD33,DC$33:DC$45,0))</f>
        <v>#N/A</v>
      </c>
      <c r="DF33" s="48" t="str">
        <f>CONCATENATE(ADDRESS(ROW(DD$33)-1+DB33,COLUMN(DD$33)),":",ADDRESS(ROW(DD$33)+DB33,COLUMN(DD$33)))</f>
        <v>$DD$32:$DD$33</v>
      </c>
      <c r="DG33" s="48" t="str">
        <f>CONCATENATE(ADDRESS(ROW(DE$33)-1+DB33,COLUMN(DE$33)),":",ADDRESS(ROW(DE$33)+DB33,COLUMN(DE$33)))</f>
        <v>$DE$32:$DE$33</v>
      </c>
      <c r="DH33" s="50" t="e">
        <f ca="1">IF(ISNA(DC33),
_xlfn.FORECAST.LINEAR($BO33,INDIRECT(DF33),INDIRECT(DG33)),DC33)</f>
        <v>#N/A</v>
      </c>
      <c r="DI33" s="47"/>
    </row>
    <row r="34" spans="1:113" x14ac:dyDescent="0.25">
      <c r="A34" s="43">
        <v>1</v>
      </c>
      <c r="B34" s="15" t="str">
        <f t="shared" ref="B34:B45" si="67">CHOOSE(IF(A34&lt;Capas_AT2_C1,1,IF(A34=Capas_AT2_C1,2,IF(A34=Capas_AT2_C1+1,3,4))),"Interfase "&amp;A34,"Superficie interior","Interior",NA())</f>
        <v>Interior</v>
      </c>
      <c r="C34" s="56" t="e">
        <f t="array" ref="C34:C45">VLOOKUP(Seccion2!lista_Materiales_C1,Materiales[],7,FALSE)</f>
        <v>#N/A</v>
      </c>
      <c r="D34" s="325" t="e">
        <f>IF(B34="Interior",Rsi_H2,IFERROR(IF(VLOOKUP(Seccion2!$B24,Materiales[],3,FALSE)=Aux!$AP$10,IF(LEFT(VLOOKUP(Seccion2!$B24,Materiales[],5,FALSE),1)="C",HLOOKUP(RIGHT(VLOOKUP(Seccion2!$B24,Materiales[],5,FALSE),4),IF($H$49=Aux!$AK$11,Aire_horizontal[#All],IF($H$49=Aux!$AK$12,Aire_ascendente[#All],Aire_descendente[#All])),MATCH(ROUND(VLOOKUP(Seccion2!$B24,Materiales[],7,FALSE)*1000,0),IF($H$49=Aux!$AK$11,Aire_horizontal[Espesor],IF($H$49=Aux!$AK$12,Aire_ascendente[Espesor],Aire_descendente[Espesor])),1)+1,FALSE),IF(VLOOKUP(Seccion2!$B24,Materiales[],5,FALSE)=Aux!$AQ$29,IF(MID(VLOOKUP(Seccion2!$B24,Materiales[],8,FALSE),1,2)="R=",VALUE(RIGHT(VLOOKUP(Seccion2!$B24,Materiales[],8,FALSE),LEN(VLOOKUP(Seccion2!$B24,Materiales[],8,FALSE))-2)),NA()),VLOOKUP(VLOOKUP(Seccion2!$B24,Materiales[],5,FALSE),Aux!$AQ$26:$AR$29,2,FALSE))),C34/VLOOKUP(Seccion2!$B24,Materiales[],8,FALSE)),NA()))</f>
        <v>#N/A</v>
      </c>
      <c r="E34" s="55" t="e">
        <f t="array" ref="E34:E45">CHOOSE(MATCH(LEFT(VLOOKUP(Seccion2!lista_Materiales_C1,Materiales[],9,FALSE),2),Aux!$AU$17:$AU$22,0),IF(RIGHT(VLOOKUP(Seccion2!lista_Materiales_C1,Materiales[],9,FALSE),LEN(VLOOKUP(Seccion2!lista_Materiales_C1,Materiales[],9,FALSE))-4)="inf",Aux!$AM$6,RIGHT(VLOOKUP(Seccion2!lista_Materiales_C1,Materiales[],9,FALSE),LEN(VLOOKUP(Seccion2!lista_Materiales_C1,Materiales[],9,FALSE))-4)),"Sd",IFERROR(δ_0/VALUE(MID(VLOOKUP(Seccion2!lista_Materiales_C1,Materiales[],9,FALSE),5,LEN(VLOOKUP(Seccion2!lista_Materiales_C1,Materiales[],9,FALSE))-12)),NA()),IFERROR(δ_0/(d_AT2_C1*VALUE(MID(VLOOKUP(Seccion2!lista_Materiales_C1,Materiales[],9,FALSE),5,LEN(VLOOKUP(Seccion2!lista_Materiales_C1,Materiales[],9,FALSE))-13))),NA()),IFERROR((δ_0*VALUE(MID(VLOOKUP(Seccion2!lista_Materiales_C1,Materiales[],9,FALSE),5,LEN(VLOOKUP(Seccion2!lista_Materiales_C1,Materiales[],9,FALSE))-13)))/d_AT2_C1,NA()),"resistencia MN","permeabilidad mmHg")</f>
        <v>#N/A</v>
      </c>
      <c r="F34" s="51" t="e">
        <f t="array" ref="F34:F45">IF(VLOOKUP(Seccion2!lista_Materiales_C1,Materiales[],3,FALSE)=Aux!$AP$10,IF(LEFT(VLOOKUP(Seccion2!lista_Materiales_C1,Materiales[],5,FALSE),1)="C",TRUE,FALSE),FALSE)</f>
        <v>#N/A</v>
      </c>
      <c r="G34" s="56" t="e">
        <f>IF(OR(B34="",B34="Interior"),NA(),SUM($C$34:$C34))</f>
        <v>#N/A</v>
      </c>
      <c r="H34" s="48" t="e">
        <f>IF(B34="",NA(),SUM($D$33:$D34))</f>
        <v>#N/A</v>
      </c>
      <c r="I34" s="50" t="e">
        <f t="array" ref="I34:I45">IF(μ_H2_C1="Sd",VALUE(MID(VLOOKUP(Seccion2!lista_Materiales_C1,Materiales[],9,FALSE),5,LEN(VLOOKUP(Seccion2!lista_Materiales_C1,Materiales[],9,FALSE))-6)),IF(verif_aire_H2_C1,0.01,IF(d_AT2_C1*μ_H2_C1&gt;0,d_AT2_C1*μ_H2_C1,NA())))</f>
        <v>#N/A</v>
      </c>
      <c r="J34" s="52" t="e">
        <f>IF(I34="",NA(),SUM($I$33:$I34))</f>
        <v>#N/A</v>
      </c>
      <c r="K34" s="53" t="e">
        <v>#N/A</v>
      </c>
      <c r="L34" s="47" t="e">
        <v>#N/A</v>
      </c>
      <c r="M34" s="54" t="e">
        <f t="shared" ref="M34:M45" si="68">6.54+14.526*LN(N34/1000)+0.7389*LN(N34/1000)^2+0.09486*LN(N34/1000)^3+0.4569*(N34/1000)^0.1984</f>
        <v>#N/A</v>
      </c>
      <c r="N34" s="51" t="e">
        <v>#N/A</v>
      </c>
      <c r="O34" s="55" t="e">
        <v>#N/A</v>
      </c>
      <c r="P34" s="51" t="e">
        <f t="shared" ca="1" si="58"/>
        <v>#N/A</v>
      </c>
      <c r="Q34" s="47"/>
      <c r="R34" s="55">
        <f t="array" ref="R34">SUM(IF(ISNUMBER(S$33:S34),1,0))+IF($A34&gt;Capas_AT2_C1,1,0)</f>
        <v>1</v>
      </c>
      <c r="S34" s="51" t="e">
        <f t="shared" ref="S34:S45" si="69">IF(O34=1,$L34,IF($B34="Superficie interior",Pi_HR_1_H2_C1,NA()))</f>
        <v>#N/A</v>
      </c>
      <c r="T34" s="51" t="e">
        <f t="shared" si="59"/>
        <v>#N/A</v>
      </c>
      <c r="U34" s="51" t="e">
        <f t="shared" si="60"/>
        <v>#N/A</v>
      </c>
      <c r="V34" s="48" t="str">
        <f t="shared" si="61"/>
        <v>$T$33:$T$34</v>
      </c>
      <c r="W34" s="48" t="str">
        <f t="shared" si="62"/>
        <v>$U$33:$U$34</v>
      </c>
      <c r="X34" s="54" t="e">
        <f t="shared" ref="X34:X45" si="70">6.54+14.526*LN(Y34/1000)+0.7389*LN(Y34/1000)^2+0.09486*LN(Y34/1000)^3+0.4569*(Y34/1000)^0.1984</f>
        <v>#N/A</v>
      </c>
      <c r="Y34" s="50" t="e">
        <v>#N/A</v>
      </c>
      <c r="Z34" s="55" t="e">
        <v>#N/A</v>
      </c>
      <c r="AA34" s="55">
        <f t="array" ref="AA34">SUM(IF(ISNUMBER(AB$33:AB34),1,0))+IF($A34&gt;Capas_AT2_C1,1,0)</f>
        <v>1</v>
      </c>
      <c r="AB34" s="51" t="e">
        <f t="shared" ref="AB34:AB45" si="71">IF(Z34=1,$L34,IF($B34="Superficie interior",Pi_HR_2_H2_C1,NA()))</f>
        <v>#N/A</v>
      </c>
      <c r="AC34" s="51" t="e">
        <f t="shared" ref="AC34:AC45" si="72">VLOOKUP($A35,AA$33:AB$45,2,FALSE)</f>
        <v>#N/A</v>
      </c>
      <c r="AD34" s="51" t="e">
        <f t="shared" ref="AD34:AD45" si="73">INDEX($J$33:$J$45,MATCH(AC34,AB$33:AB$45,0))</f>
        <v>#N/A</v>
      </c>
      <c r="AE34" s="48" t="str">
        <f t="shared" ref="AE34:AE45" si="74">CONCATENATE(ADDRESS(ROW(AC$33)-1+AA34,COLUMN(AC$33)),":",ADDRESS(ROW(AC$33)+AA34,COLUMN(AC$33)))</f>
        <v>$AC$33:$AC$34</v>
      </c>
      <c r="AF34" s="48" t="str">
        <f t="shared" ref="AF34:AF45" si="75">CONCATENATE(ADDRESS(ROW(AD$33)-1+AA34,COLUMN(AD$33)),":",ADDRESS(ROW(AD$33)+AA34,COLUMN(AD$33)))</f>
        <v>$AD$33:$AD$34</v>
      </c>
      <c r="AG34" s="50" t="e">
        <f t="shared" ca="1" si="63"/>
        <v>#N/A</v>
      </c>
      <c r="AH34" s="47"/>
      <c r="AI34" s="54" t="e">
        <f t="shared" ref="AI34:AI45" si="76">6.54+14.526*LN(AJ34/1000)+0.7389*LN(AJ34/1000)^2+0.09486*LN(AJ34/1000)^3+0.4569*(AJ34/1000)^0.1984</f>
        <v>#N/A</v>
      </c>
      <c r="AJ34" s="50" t="e">
        <v>#N/A</v>
      </c>
      <c r="AK34" s="55" t="e">
        <v>#N/A</v>
      </c>
      <c r="AL34" s="55">
        <f t="array" ref="AL34">SUM(IF(ISNUMBER(AM$33:AM34),1,0))+IF($A34&gt;Capas_AT2_C1,1,0)</f>
        <v>1</v>
      </c>
      <c r="AM34" s="51" t="e">
        <f t="shared" ref="AM34:AM45" si="77">IF(AK34=1,$L34,IF($B34="Superficie interior",Pi_HR_3_H2_C1,NA()))</f>
        <v>#N/A</v>
      </c>
      <c r="AN34" s="51" t="e">
        <f t="shared" ref="AN34:AN45" si="78">VLOOKUP($A35,AL$33:AM$45,2,FALSE)</f>
        <v>#N/A</v>
      </c>
      <c r="AO34" s="51" t="e">
        <f t="shared" ref="AO34:AO45" si="79">INDEX($J$33:$J$45,MATCH(AN34,AM$33:AM$45,0))</f>
        <v>#N/A</v>
      </c>
      <c r="AP34" s="48" t="str">
        <f t="shared" ref="AP34:AP45" si="80">CONCATENATE(ADDRESS(ROW(AN$33)-1+AL34,COLUMN(AN$33)),":",ADDRESS(ROW(AN$33)+AL34,COLUMN(AN$33)))</f>
        <v>$AN$33:$AN$34</v>
      </c>
      <c r="AQ34" s="48" t="str">
        <f t="shared" ref="AQ34:AQ45" si="81">CONCATENATE(ADDRESS(ROW(AO$33)-1+AL34,COLUMN(AO$33)),":",ADDRESS(ROW(AO$33)+AL34,COLUMN(AO$33)))</f>
        <v>$AO$33:$AO$34</v>
      </c>
      <c r="AR34" s="50" t="e">
        <f t="shared" ca="1" si="64"/>
        <v>#N/A</v>
      </c>
      <c r="AS34" s="47"/>
      <c r="AT34" s="54" t="e">
        <f t="shared" ref="AT34:AT45" si="82">6.54+14.526*LN(AU34/1000)+0.7389*LN(AU34/1000)^2+0.09486*LN(AU34/1000)^3+0.4569*(AU34/1000)^0.1984</f>
        <v>#N/A</v>
      </c>
      <c r="AU34" s="50" t="e">
        <v>#N/A</v>
      </c>
      <c r="AV34" s="55" t="e">
        <v>#N/A</v>
      </c>
      <c r="AW34" s="55">
        <f t="array" ref="AW34">SUM(IF(ISNUMBER(AX$33:AX34),1,0))+IF($A34&gt;Capas_AT2_C1,1,0)</f>
        <v>1</v>
      </c>
      <c r="AX34" s="50" t="e">
        <f t="shared" ref="AX34:AX45" si="83">IF(AV34=1,$L34,IF($B34="Superficie interior",Pi_HR_4_H2_C1,NA()))</f>
        <v>#N/A</v>
      </c>
      <c r="AY34" s="51" t="e">
        <f t="shared" ref="AY34:AY45" si="84">VLOOKUP($A35,AW$33:AX$45,2,FALSE)</f>
        <v>#N/A</v>
      </c>
      <c r="AZ34" s="51" t="e">
        <f t="shared" si="65"/>
        <v>#N/A</v>
      </c>
      <c r="BA34" s="48" t="str">
        <f t="shared" ref="BA34:BA45" si="85">CONCATENATE(ADDRESS(ROW(AY$33)-1+AW34,COLUMN(AY$33)),":",ADDRESS(ROW(AY$33)+AW34,COLUMN(AY$33)))</f>
        <v>$AY$33:$AY$34</v>
      </c>
      <c r="BB34" s="48" t="str">
        <f t="shared" ref="BB34:BB45" si="86">CONCATENATE(ADDRESS(ROW(AZ$33)-1+AW34,COLUMN(AZ$33)),":",ADDRESS(ROW(AZ$33)+AW34,COLUMN(AZ$33)))</f>
        <v>$AZ$33:$AZ$34</v>
      </c>
      <c r="BC34" s="50" t="e">
        <f t="shared" ca="1" si="66"/>
        <v>#N/A</v>
      </c>
      <c r="BD34" s="47"/>
      <c r="BF34" s="43">
        <v>1</v>
      </c>
      <c r="BG34" s="15" t="str">
        <f t="shared" ref="BG34:BG45" si="87">CHOOSE(IF(BF34&lt;Capas_AT2_C2,1,IF(BF34=Capas_AT2_C2,2,IF(BF34=Capas_AT2_C2+1,3,4))),"Interfase "&amp;BF34,"Superficie interior","Interior",NA())</f>
        <v>Interior</v>
      </c>
      <c r="BH34" s="56" t="e">
        <f t="array" ref="BH34:BH45">VLOOKUP(Seccion2!lista_Materiales_C2,Materiales[],7,FALSE)</f>
        <v>#N/A</v>
      </c>
      <c r="BI34" s="325" t="e">
        <f>IF(BG34="Interior",$BN$50,IFERROR(IF(VLOOKUP(Seccion2!I24,Materiales[],3,FALSE)=Aux!$AP$10,IF(LEFT(VLOOKUP(Seccion2!I24,Materiales[],5,FALSE),1)="C",HLOOKUP(RIGHT(VLOOKUP(Seccion2!I24,Materiales[],5,FALSE),4),IF($BM$49=Aux!$AK$11,Aire_horizontal[#All],IF($BM$49=Aux!$AK$12,Aire_ascendente[#All],Aire_descendente[#All])),MATCH(ROUND(VLOOKUP(Seccion2!I24,Materiales[],7,FALSE)*1000,0),IF($BM$49=Aux!$AK$11,Aire_horizontal[Espesor],IF($BM$49=Aux!$AK$12,Aire_ascendente[Espesor],Aire_descendente[Espesor])),1)+1,FALSE),IF(VLOOKUP(Seccion2!I24,Materiales[],5,FALSE)=Aux!$AQ$29,IF(MID(VLOOKUP(Seccion2!I24,Materiales[],8,FALSE),1,2)="R=",VALUE(RIGHT(VLOOKUP(Seccion2!I24,Materiales[],8,FALSE),LEN(VLOOKUP(Seccion2!I24,Materiales[],8,FALSE))-2)),NA()),VLOOKUP(VLOOKUP(Seccion2!I24,Materiales[],5,FALSE),Aux!$AQ$26:$AR$29,2,FALSE))),BH34/VLOOKUP(Seccion2!I24,Materiales[],8,FALSE)),NA()))</f>
        <v>#N/A</v>
      </c>
      <c r="BJ34" s="55" t="e">
        <f t="array" ref="BJ34:BJ45">CHOOSE(MATCH(LEFT(VLOOKUP(Seccion2!lista_Materiales_C2,Materiales[],9,FALSE),2),Aux!$AU$17:$AU$22,0),IF(RIGHT(VLOOKUP(Seccion2!lista_Materiales_C2,Materiales[],9,FALSE),LEN(VLOOKUP(Seccion2!lista_Materiales_C2,Materiales[],9,FALSE))-4)="inf",Aux!$AM$6,RIGHT(VLOOKUP(Seccion2!lista_Materiales_C2,Materiales[],9,FALSE),LEN(VLOOKUP(Seccion2!lista_Materiales_C2,Materiales[],9,FALSE))-4)),"Sd",IFERROR(δ_0/VALUE(MID(VLOOKUP(Seccion2!lista_Materiales_C2,Materiales[],9,FALSE),5,LEN(VLOOKUP(Seccion2!lista_Materiales_C2,Materiales[],9,FALSE))-12)),NA()),IFERROR(δ_0/(d_AT2_C2*VALUE(MID(VLOOKUP(Seccion2!lista_Materiales_C2,Materiales[],9,FALSE),5,LEN(VLOOKUP(Seccion2!lista_Materiales_C2,Materiales[],9,FALSE))-13))),NA()),IFERROR((δ_0*VALUE(MID(VLOOKUP(Seccion2!lista_Materiales_C2,Materiales[],9,FALSE),5,LEN(VLOOKUP(Seccion2!lista_Materiales_C2,Materiales[],9,FALSE))-13)))/d_AT2_C2,NA()),"resistencia MN","permeabilidad mmHg")</f>
        <v>#N/A</v>
      </c>
      <c r="BK34" s="51" t="e">
        <f t="array" ref="BK34:BK45">IF(VLOOKUP(Seccion2!lista_Materiales_C2,Materiales[],3,FALSE)=Aux!$AP$10,IF(LEFT(VLOOKUP(Seccion2!lista_Materiales_C2,Materiales[],5,FALSE),1)="C",TRUE,FALSE),FALSE)</f>
        <v>#N/A</v>
      </c>
      <c r="BL34" s="56" t="e">
        <f>IF(OR(BH34="",BH34="Interior"),NA(),SUM($BH$34:$BH34))</f>
        <v>#N/A</v>
      </c>
      <c r="BM34" s="48" t="e">
        <f>IF(BG34="",NA(),SUM($BI$33:$BI34))</f>
        <v>#N/A</v>
      </c>
      <c r="BN34" s="50" t="e">
        <f t="array" ref="BN34:BN45">IF(μ_H2_C2="Sd",VALUE(MID(VLOOKUP(Seccion2!lista_Materiales_C2,Materiales[],9,FALSE),5,LEN(VLOOKUP(Seccion2!lista_Materiales_C2,Materiales[],9,FALSE))-6)),IF(verif_aire_H2_C2,0.01,IF(d_AT2_C2*μ_H2_C2&gt;0,d_AT2_C2*μ_H2_C2,NA())))</f>
        <v>#N/A</v>
      </c>
      <c r="BO34" s="52" t="e">
        <f>IF(BN34="",NA(),SUM($BN$33:$BN34))</f>
        <v>#N/A</v>
      </c>
      <c r="BP34" s="53" t="e">
        <v>#N/A</v>
      </c>
      <c r="BQ34" s="52" t="e">
        <v>#N/A</v>
      </c>
      <c r="BR34" s="54" t="e">
        <f t="shared" ref="BR34:BR45" si="88">6.54+14.526*LN(BS34/1000)+0.7389*LN(BS34/1000)^2+0.09486*LN(BS34/1000)^3+0.4569*(BS34/1000)^0.1984</f>
        <v>#N/A</v>
      </c>
      <c r="BS34" s="50" t="e">
        <v>#N/A</v>
      </c>
      <c r="BT34" s="55" t="e">
        <v>#N/A</v>
      </c>
      <c r="BU34" s="55">
        <f t="array" ref="BU34">SUM(IF(ISNUMBER(BV$33:BV34),1,0))+IF($BF34&gt;Capas_AT2_C2,1,0)</f>
        <v>1</v>
      </c>
      <c r="BV34" s="51" t="e">
        <f t="shared" ref="BV34:BV45" si="89">IF(BT34=1,$BQ34,IF($BG34="Superficie interior",Pi_HR_1_H2_C2,NA()))</f>
        <v>#N/A</v>
      </c>
      <c r="BW34" s="51" t="e">
        <f t="shared" ref="BW34:BW45" si="90">VLOOKUP($BF35,BU$33:BV$45,2,FALSE)</f>
        <v>#N/A</v>
      </c>
      <c r="BX34" s="51" t="e">
        <f t="shared" ref="BX34:BX45" si="91">INDEX($BO$33:$BO$45,MATCH(BW34,BV$33:BV$45,0))</f>
        <v>#N/A</v>
      </c>
      <c r="BY34" s="48" t="str">
        <f t="shared" ref="BY34:BY45" si="92">CONCATENATE(ADDRESS(ROW(BW$33)-1+BU34,COLUMN(BW$33)),":",ADDRESS(ROW(BW$33)+BU34,COLUMN(BW$33)))</f>
        <v>$BW$33:$BW$34</v>
      </c>
      <c r="BZ34" s="48" t="str">
        <f t="shared" ref="BZ34:BZ45" si="93">CONCATENATE(ADDRESS(ROW(BX$33)-1+BU34,COLUMN(BX$33)),":",ADDRESS(ROW(BX$33)+BU34,COLUMN(BX$33)))</f>
        <v>$BX$33:$BX$34</v>
      </c>
      <c r="CA34" s="50" t="e">
        <f t="shared" ref="CA34:CA45" ca="1" si="94">IF(ISNA(BV34),
_xlfn.FORECAST.LINEAR($BO34,INDIRECT(BY34),INDIRECT(BZ34)),BV34)</f>
        <v>#N/A</v>
      </c>
      <c r="CB34" s="47"/>
      <c r="CC34" s="54" t="e">
        <f t="shared" ref="CC34:CC45" si="95">6.54+14.526*LN(CD34/1000)+0.7389*LN(CD34/1000)^2+0.09486*LN(CD34/1000)^3+0.4569*(CD34/1000)^0.1984</f>
        <v>#N/A</v>
      </c>
      <c r="CD34" s="50" t="e">
        <v>#N/A</v>
      </c>
      <c r="CE34" s="55" t="e">
        <v>#N/A</v>
      </c>
      <c r="CF34" s="55">
        <f t="array" ref="CF34">SUM(IF(ISNUMBER(CG$33:CG34),1,0))+IF($BF34&gt;Capas_AT2_C2,1,0)</f>
        <v>1</v>
      </c>
      <c r="CG34" s="51" t="e">
        <f t="shared" ref="CG34:CG45" si="96">IF(CE34=1,$BQ34,IF($BG34="Superficie interior",Pi_HR_2_H2_C2,NA()))</f>
        <v>#N/A</v>
      </c>
      <c r="CH34" s="51" t="e">
        <f t="shared" ref="CH34:CH45" si="97">VLOOKUP($BF35,CF$33:CG$45,2,FALSE)</f>
        <v>#N/A</v>
      </c>
      <c r="CI34" s="51" t="e">
        <f t="shared" ref="CI34:CI45" si="98">INDEX($BO$33:$BO$45,MATCH(CH34,CG$33:CG$45,0))</f>
        <v>#N/A</v>
      </c>
      <c r="CJ34" s="48" t="str">
        <f t="shared" ref="CJ34:CJ45" si="99">CONCATENATE(ADDRESS(ROW(CH$33)-1+CF34,COLUMN(CH$33)),":",ADDRESS(ROW(CH$33)+CF34,COLUMN(CH$33)))</f>
        <v>$CH$33:$CH$34</v>
      </c>
      <c r="CK34" s="48" t="str">
        <f t="shared" ref="CK34:CK45" si="100">CONCATENATE(ADDRESS(ROW(CI$33)-1+CF34,COLUMN(CI$33)),":",ADDRESS(ROW(CI$33)+CF34,COLUMN(CI$33)))</f>
        <v>$CI$33:$CI$34</v>
      </c>
      <c r="CL34" s="50" t="e">
        <f t="shared" ref="CL34:CL45" ca="1" si="101">IF(ISNA(CG34),
_xlfn.FORECAST.LINEAR($BO34,INDIRECT(CJ34),INDIRECT(CK34)),CG34)</f>
        <v>#N/A</v>
      </c>
      <c r="CM34" s="47"/>
      <c r="CN34" s="54" t="e">
        <f t="shared" ref="CN34:CN45" si="102">6.54+14.526*LN(CO34/1000)+0.7389*LN(CO34/1000)^2+0.09486*LN(CO34/1000)^3+0.4569*(CO34/1000)^0.1984</f>
        <v>#N/A</v>
      </c>
      <c r="CO34" s="50" t="e">
        <v>#N/A</v>
      </c>
      <c r="CP34" s="55" t="e">
        <v>#N/A</v>
      </c>
      <c r="CQ34" s="55">
        <f t="array" ref="CQ34">SUM(IF(ISNUMBER(CR$33:CR34),1,0))+IF($BF34&gt;Capas_AT2_C2,1,0)</f>
        <v>1</v>
      </c>
      <c r="CR34" s="51" t="e">
        <f t="shared" ref="CR34:CR45" si="103">IF(CP34=1,$BQ34,IF($BG34="Superficie interior",Pi_HR_3_H2_C2,NA()))</f>
        <v>#N/A</v>
      </c>
      <c r="CS34" s="51" t="e">
        <f t="shared" ref="CS34:CS45" si="104">VLOOKUP($BF35,CQ$33:CR$45,2,FALSE)</f>
        <v>#N/A</v>
      </c>
      <c r="CT34" s="51" t="e">
        <f t="shared" ref="CT34:CT45" si="105">INDEX($BO$33:$BO$45,MATCH(CS34,CR$33:CR$45,0))</f>
        <v>#N/A</v>
      </c>
      <c r="CU34" s="48" t="str">
        <f t="shared" ref="CU34:CU45" si="106">CONCATENATE(ADDRESS(ROW(CS$33)-1+CQ34,COLUMN(CS$33)),":",ADDRESS(ROW(CS$33)+CQ34,COLUMN(CS$33)))</f>
        <v>$CS$33:$CS$34</v>
      </c>
      <c r="CV34" s="48" t="str">
        <f t="shared" ref="CV34:CV45" si="107">CONCATENATE(ADDRESS(ROW(CT$33)-1+CQ34,COLUMN(CT$33)),":",ADDRESS(ROW(CT$33)+CQ34,COLUMN(CT$33)))</f>
        <v>$CT$33:$CT$34</v>
      </c>
      <c r="CW34" s="50" t="e">
        <f t="shared" ref="CW34:CW45" ca="1" si="108">IF(ISNA(CR34),
_xlfn.FORECAST.LINEAR($BO34,INDIRECT(CU34),INDIRECT(CV34)),CR34)</f>
        <v>#N/A</v>
      </c>
      <c r="CX34" s="47"/>
      <c r="CY34" s="54" t="e">
        <f t="shared" ref="CY34:CY45" si="109">6.54+14.526*LN(CZ34/1000)+0.7389*LN(CZ34/1000)^2+0.09486*LN(CZ34/1000)^3+0.4569*(CZ34/1000)^0.1984</f>
        <v>#N/A</v>
      </c>
      <c r="CZ34" s="50" t="e">
        <v>#N/A</v>
      </c>
      <c r="DA34" s="55" t="e">
        <v>#N/A</v>
      </c>
      <c r="DB34" s="55">
        <f t="array" ref="DB34">SUM(IF(ISNUMBER(DC$33:DC34),1,0))+IF($BF34&gt;Capas_AT2_C2,1,0)</f>
        <v>1</v>
      </c>
      <c r="DC34" s="51" t="e">
        <f t="shared" ref="DC34:DC45" si="110">IF(DA34=1,$BQ34,IF($BG34="Superficie interior",Pi_HR_4_H2_C2,NA()))</f>
        <v>#N/A</v>
      </c>
      <c r="DD34" s="51" t="e">
        <f t="shared" ref="DD34:DD45" si="111">VLOOKUP($BF35,DB$33:DC$45,2,FALSE)</f>
        <v>#N/A</v>
      </c>
      <c r="DE34" s="51" t="e">
        <f t="shared" ref="DE34:DE45" si="112">INDEX($BO$33:$BO$45,MATCH(DD34,DC$33:DC$45,0))</f>
        <v>#N/A</v>
      </c>
      <c r="DF34" s="48" t="str">
        <f t="shared" ref="DF34:DF45" si="113">CONCATENATE(ADDRESS(ROW(DD$33)-1+DB34,COLUMN(DD$33)),":",ADDRESS(ROW(DD$33)+DB34,COLUMN(DD$33)))</f>
        <v>$DD$33:$DD$34</v>
      </c>
      <c r="DG34" s="48" t="str">
        <f t="shared" ref="DG34:DG45" si="114">CONCATENATE(ADDRESS(ROW(DE$33)-1+DB34,COLUMN(DE$33)),":",ADDRESS(ROW(DE$33)+DB34,COLUMN(DE$33)))</f>
        <v>$DE$33:$DE$34</v>
      </c>
      <c r="DH34" s="50" t="e">
        <f t="shared" ref="DH34:DH45" ca="1" si="115">IF(ISNA(DC34),
_xlfn.FORECAST.LINEAR($BO34,INDIRECT(DF34),INDIRECT(DG34)),DC34)</f>
        <v>#N/A</v>
      </c>
      <c r="DI34" s="47"/>
    </row>
    <row r="35" spans="1:113" x14ac:dyDescent="0.25">
      <c r="A35" s="43">
        <v>2</v>
      </c>
      <c r="B35" s="15" t="e">
        <f t="shared" si="67"/>
        <v>#N/A</v>
      </c>
      <c r="C35" s="56" t="e">
        <v>#N/A</v>
      </c>
      <c r="D35" s="325" t="e">
        <f>IF(B35="Interior",Rsi_H2,IFERROR(IF(VLOOKUP(Seccion2!$B25,Materiales[],3,FALSE)=Aux!$AP$10,IF(LEFT(VLOOKUP(Seccion2!$B25,Materiales[],5,FALSE),1)="C",HLOOKUP(RIGHT(VLOOKUP(Seccion2!$B25,Materiales[],5,FALSE),4),IF($H$49=Aux!$AK$11,Aire_horizontal[#All],IF($H$49=Aux!$AK$12,Aire_ascendente[#All],Aire_descendente[#All])),MATCH(ROUND(VLOOKUP(Seccion2!$B25,Materiales[],7,FALSE)*1000,0),IF($H$49=Aux!$AK$11,Aire_horizontal[Espesor],IF($H$49=Aux!$AK$12,Aire_ascendente[Espesor],Aire_descendente[Espesor])),1)+1,FALSE),IF(VLOOKUP(Seccion2!$B25,Materiales[],5,FALSE)=Aux!$AQ$29,IF(MID(VLOOKUP(Seccion2!$B25,Materiales[],8,FALSE),1,2)="R=",VALUE(RIGHT(VLOOKUP(Seccion2!$B25,Materiales[],8,FALSE),LEN(VLOOKUP(Seccion2!$B25,Materiales[],8,FALSE))-2)),NA()),VLOOKUP(VLOOKUP(Seccion2!$B25,Materiales[],5,FALSE),Aux!$AQ$26:$AR$29,2,FALSE))),C35/VLOOKUP(Seccion2!$B25,Materiales[],8,FALSE)),NA()))</f>
        <v>#N/A</v>
      </c>
      <c r="E35" s="55" t="e">
        <v>#N/A</v>
      </c>
      <c r="F35" s="51" t="e">
        <v>#N/A</v>
      </c>
      <c r="G35" s="56" t="e">
        <f>IF(OR(B35="",B35="Interior"),NA(),SUM($C$34:$C35))</f>
        <v>#N/A</v>
      </c>
      <c r="H35" s="48" t="e">
        <f>IF(B35="",NA(),SUM($D$33:$D35))</f>
        <v>#N/A</v>
      </c>
      <c r="I35" s="50" t="e">
        <v>#N/A</v>
      </c>
      <c r="J35" s="52" t="e">
        <f>IF(I35="",NA(),SUM($I$33:$I35))</f>
        <v>#N/A</v>
      </c>
      <c r="K35" s="53" t="e">
        <v>#N/A</v>
      </c>
      <c r="L35" s="47" t="e">
        <v>#N/A</v>
      </c>
      <c r="M35" s="54" t="e">
        <f t="shared" si="68"/>
        <v>#N/A</v>
      </c>
      <c r="N35" s="51" t="e">
        <v>#N/A</v>
      </c>
      <c r="O35" s="55" t="e">
        <v>#N/A</v>
      </c>
      <c r="P35" s="51" t="e">
        <f t="shared" ca="1" si="58"/>
        <v>#N/A</v>
      </c>
      <c r="Q35" s="47"/>
      <c r="R35" s="55">
        <f t="array" ref="R35">SUM(IF(ISNUMBER(S$33:S35),1,0))+IF($A35&gt;Capas_AT2_C1,1,0)</f>
        <v>1</v>
      </c>
      <c r="S35" s="51" t="e">
        <f t="shared" si="69"/>
        <v>#N/A</v>
      </c>
      <c r="T35" s="51" t="e">
        <f t="shared" si="59"/>
        <v>#N/A</v>
      </c>
      <c r="U35" s="51" t="e">
        <f t="shared" si="60"/>
        <v>#N/A</v>
      </c>
      <c r="V35" s="48" t="str">
        <f t="shared" si="61"/>
        <v>$T$33:$T$34</v>
      </c>
      <c r="W35" s="48" t="str">
        <f t="shared" si="62"/>
        <v>$U$33:$U$34</v>
      </c>
      <c r="X35" s="54" t="e">
        <f t="shared" si="70"/>
        <v>#N/A</v>
      </c>
      <c r="Y35" s="50" t="e">
        <v>#N/A</v>
      </c>
      <c r="Z35" s="55" t="e">
        <v>#N/A</v>
      </c>
      <c r="AA35" s="55">
        <f t="array" ref="AA35">SUM(IF(ISNUMBER(AB$33:AB35),1,0))+IF($A35&gt;Capas_AT2_C1,1,0)</f>
        <v>1</v>
      </c>
      <c r="AB35" s="51" t="e">
        <f t="shared" si="71"/>
        <v>#N/A</v>
      </c>
      <c r="AC35" s="51" t="e">
        <f t="shared" si="72"/>
        <v>#N/A</v>
      </c>
      <c r="AD35" s="51" t="e">
        <f t="shared" si="73"/>
        <v>#N/A</v>
      </c>
      <c r="AE35" s="48" t="str">
        <f t="shared" si="74"/>
        <v>$AC$33:$AC$34</v>
      </c>
      <c r="AF35" s="48" t="str">
        <f t="shared" si="75"/>
        <v>$AD$33:$AD$34</v>
      </c>
      <c r="AG35" s="50" t="e">
        <f t="shared" ca="1" si="63"/>
        <v>#N/A</v>
      </c>
      <c r="AH35" s="47"/>
      <c r="AI35" s="54" t="e">
        <f t="shared" si="76"/>
        <v>#N/A</v>
      </c>
      <c r="AJ35" s="50" t="e">
        <v>#N/A</v>
      </c>
      <c r="AK35" s="55" t="e">
        <v>#N/A</v>
      </c>
      <c r="AL35" s="55">
        <f t="array" ref="AL35">SUM(IF(ISNUMBER(AM$33:AM35),1,0))+IF($A35&gt;Capas_AT2_C1,1,0)</f>
        <v>1</v>
      </c>
      <c r="AM35" s="51" t="e">
        <f t="shared" si="77"/>
        <v>#N/A</v>
      </c>
      <c r="AN35" s="51" t="e">
        <f t="shared" si="78"/>
        <v>#N/A</v>
      </c>
      <c r="AO35" s="51" t="e">
        <f t="shared" si="79"/>
        <v>#N/A</v>
      </c>
      <c r="AP35" s="48" t="str">
        <f t="shared" si="80"/>
        <v>$AN$33:$AN$34</v>
      </c>
      <c r="AQ35" s="48" t="str">
        <f t="shared" si="81"/>
        <v>$AO$33:$AO$34</v>
      </c>
      <c r="AR35" s="50" t="e">
        <f t="shared" ca="1" si="64"/>
        <v>#N/A</v>
      </c>
      <c r="AS35" s="47"/>
      <c r="AT35" s="54" t="e">
        <f t="shared" si="82"/>
        <v>#N/A</v>
      </c>
      <c r="AU35" s="50" t="e">
        <v>#N/A</v>
      </c>
      <c r="AV35" s="55" t="e">
        <v>#N/A</v>
      </c>
      <c r="AW35" s="55">
        <f t="array" ref="AW35">SUM(IF(ISNUMBER(AX$33:AX35),1,0))+IF($A35&gt;Capas_AT2_C1,1,0)</f>
        <v>1</v>
      </c>
      <c r="AX35" s="50" t="e">
        <f t="shared" si="83"/>
        <v>#N/A</v>
      </c>
      <c r="AY35" s="51" t="e">
        <f t="shared" si="84"/>
        <v>#N/A</v>
      </c>
      <c r="AZ35" s="51" t="e">
        <f t="shared" si="65"/>
        <v>#N/A</v>
      </c>
      <c r="BA35" s="48" t="str">
        <f t="shared" si="85"/>
        <v>$AY$33:$AY$34</v>
      </c>
      <c r="BB35" s="48" t="str">
        <f t="shared" si="86"/>
        <v>$AZ$33:$AZ$34</v>
      </c>
      <c r="BC35" s="50" t="e">
        <f t="shared" ca="1" si="66"/>
        <v>#N/A</v>
      </c>
      <c r="BD35" s="47"/>
      <c r="BF35" s="43">
        <v>2</v>
      </c>
      <c r="BG35" s="15" t="e">
        <f t="shared" si="87"/>
        <v>#N/A</v>
      </c>
      <c r="BH35" s="56" t="e">
        <v>#N/A</v>
      </c>
      <c r="BI35" s="325" t="e">
        <f>IF(BG35="Interior",$BN$50,IFERROR(IF(VLOOKUP(Seccion2!I25,Materiales[],3,FALSE)=Aux!$AP$10,IF(LEFT(VLOOKUP(Seccion2!I25,Materiales[],5,FALSE),1)="C",HLOOKUP(RIGHT(VLOOKUP(Seccion2!I25,Materiales[],5,FALSE),4),IF($BM$49=Aux!$AK$11,Aire_horizontal[#All],IF($BM$49=Aux!$AK$12,Aire_ascendente[#All],Aire_descendente[#All])),MATCH(ROUND(VLOOKUP(Seccion2!I25,Materiales[],7,FALSE)*1000,0),IF($BM$49=Aux!$AK$11,Aire_horizontal[Espesor],IF($BM$49=Aux!$AK$12,Aire_ascendente[Espesor],Aire_descendente[Espesor])),1)+1,FALSE),IF(VLOOKUP(Seccion2!I25,Materiales[],5,FALSE)=Aux!$AQ$29,IF(MID(VLOOKUP(Seccion2!I25,Materiales[],8,FALSE),1,2)="R=",VALUE(RIGHT(VLOOKUP(Seccion2!I25,Materiales[],8,FALSE),LEN(VLOOKUP(Seccion2!I25,Materiales[],8,FALSE))-2)),NA()),VLOOKUP(VLOOKUP(Seccion2!I25,Materiales[],5,FALSE),Aux!$AQ$26:$AR$29,2,FALSE))),BH35/VLOOKUP(Seccion2!I25,Materiales[],8,FALSE)),NA()))</f>
        <v>#N/A</v>
      </c>
      <c r="BJ35" s="55" t="e">
        <v>#N/A</v>
      </c>
      <c r="BK35" s="51" t="e">
        <v>#N/A</v>
      </c>
      <c r="BL35" s="56" t="e">
        <f>IF(OR(BH35="",BH35="Interior"),NA(),SUM($BH$34:$BH35))</f>
        <v>#N/A</v>
      </c>
      <c r="BM35" s="48" t="e">
        <f>IF(BG35="",NA(),SUM($BI$33:$BI35))</f>
        <v>#N/A</v>
      </c>
      <c r="BN35" s="50" t="e">
        <v>#N/A</v>
      </c>
      <c r="BO35" s="52" t="e">
        <f>IF(BN35="",NA(),SUM($BN$33:$BN35))</f>
        <v>#N/A</v>
      </c>
      <c r="BP35" s="53" t="e">
        <v>#N/A</v>
      </c>
      <c r="BQ35" s="52" t="e">
        <v>#N/A</v>
      </c>
      <c r="BR35" s="54" t="e">
        <f t="shared" si="88"/>
        <v>#N/A</v>
      </c>
      <c r="BS35" s="50" t="e">
        <v>#N/A</v>
      </c>
      <c r="BT35" s="55" t="e">
        <v>#N/A</v>
      </c>
      <c r="BU35" s="55">
        <f t="array" ref="BU35">SUM(IF(ISNUMBER(BV$33:BV35),1,0))+IF($BF35&gt;Capas_AT2_C2,1,0)</f>
        <v>1</v>
      </c>
      <c r="BV35" s="51" t="e">
        <f t="shared" si="89"/>
        <v>#N/A</v>
      </c>
      <c r="BW35" s="51" t="e">
        <f t="shared" si="90"/>
        <v>#N/A</v>
      </c>
      <c r="BX35" s="51" t="e">
        <f t="shared" si="91"/>
        <v>#N/A</v>
      </c>
      <c r="BY35" s="48" t="str">
        <f t="shared" si="92"/>
        <v>$BW$33:$BW$34</v>
      </c>
      <c r="BZ35" s="48" t="str">
        <f t="shared" si="93"/>
        <v>$BX$33:$BX$34</v>
      </c>
      <c r="CA35" s="50" t="e">
        <f t="shared" ca="1" si="94"/>
        <v>#N/A</v>
      </c>
      <c r="CB35" s="47"/>
      <c r="CC35" s="54" t="e">
        <f t="shared" si="95"/>
        <v>#N/A</v>
      </c>
      <c r="CD35" s="50" t="e">
        <v>#N/A</v>
      </c>
      <c r="CE35" s="55" t="e">
        <v>#N/A</v>
      </c>
      <c r="CF35" s="55">
        <f t="array" ref="CF35">SUM(IF(ISNUMBER(CG$33:CG35),1,0))+IF($BF35&gt;Capas_AT2_C2,1,0)</f>
        <v>1</v>
      </c>
      <c r="CG35" s="51" t="e">
        <f t="shared" si="96"/>
        <v>#N/A</v>
      </c>
      <c r="CH35" s="51" t="e">
        <f t="shared" si="97"/>
        <v>#N/A</v>
      </c>
      <c r="CI35" s="51" t="e">
        <f t="shared" si="98"/>
        <v>#N/A</v>
      </c>
      <c r="CJ35" s="48" t="str">
        <f t="shared" si="99"/>
        <v>$CH$33:$CH$34</v>
      </c>
      <c r="CK35" s="48" t="str">
        <f t="shared" si="100"/>
        <v>$CI$33:$CI$34</v>
      </c>
      <c r="CL35" s="50" t="e">
        <f t="shared" ca="1" si="101"/>
        <v>#N/A</v>
      </c>
      <c r="CM35" s="47"/>
      <c r="CN35" s="54" t="e">
        <f t="shared" si="102"/>
        <v>#N/A</v>
      </c>
      <c r="CO35" s="50" t="e">
        <v>#N/A</v>
      </c>
      <c r="CP35" s="55" t="e">
        <v>#N/A</v>
      </c>
      <c r="CQ35" s="55">
        <f t="array" ref="CQ35">SUM(IF(ISNUMBER(CR$33:CR35),1,0))+IF($BF35&gt;Capas_AT2_C2,1,0)</f>
        <v>1</v>
      </c>
      <c r="CR35" s="51" t="e">
        <f t="shared" si="103"/>
        <v>#N/A</v>
      </c>
      <c r="CS35" s="51" t="e">
        <f t="shared" si="104"/>
        <v>#N/A</v>
      </c>
      <c r="CT35" s="51" t="e">
        <f t="shared" si="105"/>
        <v>#N/A</v>
      </c>
      <c r="CU35" s="48" t="str">
        <f t="shared" si="106"/>
        <v>$CS$33:$CS$34</v>
      </c>
      <c r="CV35" s="48" t="str">
        <f t="shared" si="107"/>
        <v>$CT$33:$CT$34</v>
      </c>
      <c r="CW35" s="50" t="e">
        <f t="shared" ca="1" si="108"/>
        <v>#N/A</v>
      </c>
      <c r="CX35" s="47"/>
      <c r="CY35" s="54" t="e">
        <f t="shared" si="109"/>
        <v>#N/A</v>
      </c>
      <c r="CZ35" s="50" t="e">
        <v>#N/A</v>
      </c>
      <c r="DA35" s="55" t="e">
        <v>#N/A</v>
      </c>
      <c r="DB35" s="55">
        <f t="array" ref="DB35">SUM(IF(ISNUMBER(DC$33:DC35),1,0))+IF($BF35&gt;Capas_AT2_C2,1,0)</f>
        <v>1</v>
      </c>
      <c r="DC35" s="51" t="e">
        <f t="shared" si="110"/>
        <v>#N/A</v>
      </c>
      <c r="DD35" s="51" t="e">
        <f t="shared" si="111"/>
        <v>#N/A</v>
      </c>
      <c r="DE35" s="51" t="e">
        <f t="shared" si="112"/>
        <v>#N/A</v>
      </c>
      <c r="DF35" s="48" t="str">
        <f t="shared" si="113"/>
        <v>$DD$33:$DD$34</v>
      </c>
      <c r="DG35" s="48" t="str">
        <f t="shared" si="114"/>
        <v>$DE$33:$DE$34</v>
      </c>
      <c r="DH35" s="50" t="e">
        <f t="shared" ca="1" si="115"/>
        <v>#N/A</v>
      </c>
      <c r="DI35" s="47"/>
    </row>
    <row r="36" spans="1:113" x14ac:dyDescent="0.25">
      <c r="A36" s="43">
        <v>3</v>
      </c>
      <c r="B36" s="15" t="e">
        <f t="shared" si="67"/>
        <v>#N/A</v>
      </c>
      <c r="C36" s="56" t="e">
        <v>#N/A</v>
      </c>
      <c r="D36" s="325" t="e">
        <f>IF(B36="Interior",Rsi_H2,IFERROR(IF(VLOOKUP(Seccion2!$B26,Materiales[],3,FALSE)=Aux!$AP$10,IF(LEFT(VLOOKUP(Seccion2!$B26,Materiales[],5,FALSE),1)="C",HLOOKUP(RIGHT(VLOOKUP(Seccion2!$B26,Materiales[],5,FALSE),4),IF($H$49=Aux!$AK$11,Aire_horizontal[#All],IF($H$49=Aux!$AK$12,Aire_ascendente[#All],Aire_descendente[#All])),MATCH(ROUND(VLOOKUP(Seccion2!$B26,Materiales[],7,FALSE)*1000,0),IF($H$49=Aux!$AK$11,Aire_horizontal[Espesor],IF($H$49=Aux!$AK$12,Aire_ascendente[Espesor],Aire_descendente[Espesor])),1)+1,FALSE),IF(VLOOKUP(Seccion2!$B26,Materiales[],5,FALSE)=Aux!$AQ$29,IF(MID(VLOOKUP(Seccion2!$B26,Materiales[],8,FALSE),1,2)="R=",VALUE(RIGHT(VLOOKUP(Seccion2!$B26,Materiales[],8,FALSE),LEN(VLOOKUP(Seccion2!$B26,Materiales[],8,FALSE))-2)),NA()),VLOOKUP(VLOOKUP(Seccion2!$B26,Materiales[],5,FALSE),Aux!$AQ$26:$AR$29,2,FALSE))),C36/VLOOKUP(Seccion2!$B26,Materiales[],8,FALSE)),NA()))</f>
        <v>#N/A</v>
      </c>
      <c r="E36" s="55" t="e">
        <v>#N/A</v>
      </c>
      <c r="F36" s="51" t="e">
        <v>#N/A</v>
      </c>
      <c r="G36" s="56" t="e">
        <f>IF(OR(B36="",B36="Interior"),NA(),SUM($C$34:$C36))</f>
        <v>#N/A</v>
      </c>
      <c r="H36" s="48" t="e">
        <f>IF(B36="",NA(),SUM($D$33:$D36))</f>
        <v>#N/A</v>
      </c>
      <c r="I36" s="50" t="e">
        <v>#N/A</v>
      </c>
      <c r="J36" s="52" t="e">
        <f>IF(I36="",NA(),SUM($I$33:$I36))</f>
        <v>#N/A</v>
      </c>
      <c r="K36" s="53" t="e">
        <v>#N/A</v>
      </c>
      <c r="L36" s="47" t="e">
        <v>#N/A</v>
      </c>
      <c r="M36" s="54" t="e">
        <f t="shared" si="68"/>
        <v>#N/A</v>
      </c>
      <c r="N36" s="51" t="e">
        <v>#N/A</v>
      </c>
      <c r="O36" s="55" t="e">
        <v>#N/A</v>
      </c>
      <c r="P36" s="51" t="e">
        <f t="shared" ca="1" si="58"/>
        <v>#N/A</v>
      </c>
      <c r="Q36" s="47"/>
      <c r="R36" s="55">
        <f t="array" ref="R36">SUM(IF(ISNUMBER(S$33:S36),1,0))+IF($A36&gt;Capas_AT2_C1,1,0)</f>
        <v>1</v>
      </c>
      <c r="S36" s="51" t="e">
        <f t="shared" si="69"/>
        <v>#N/A</v>
      </c>
      <c r="T36" s="51" t="e">
        <f t="shared" si="59"/>
        <v>#N/A</v>
      </c>
      <c r="U36" s="51" t="e">
        <f t="shared" si="60"/>
        <v>#N/A</v>
      </c>
      <c r="V36" s="48" t="str">
        <f t="shared" si="61"/>
        <v>$T$33:$T$34</v>
      </c>
      <c r="W36" s="48" t="str">
        <f t="shared" si="62"/>
        <v>$U$33:$U$34</v>
      </c>
      <c r="X36" s="54" t="e">
        <f t="shared" si="70"/>
        <v>#N/A</v>
      </c>
      <c r="Y36" s="50" t="e">
        <v>#N/A</v>
      </c>
      <c r="Z36" s="55" t="e">
        <v>#N/A</v>
      </c>
      <c r="AA36" s="55">
        <f t="array" ref="AA36">SUM(IF(ISNUMBER(AB$33:AB36),1,0))+IF($A36&gt;Capas_AT2_C1,1,0)</f>
        <v>1</v>
      </c>
      <c r="AB36" s="51" t="e">
        <f t="shared" si="71"/>
        <v>#N/A</v>
      </c>
      <c r="AC36" s="51" t="e">
        <f t="shared" si="72"/>
        <v>#N/A</v>
      </c>
      <c r="AD36" s="51" t="e">
        <f t="shared" si="73"/>
        <v>#N/A</v>
      </c>
      <c r="AE36" s="48" t="str">
        <f t="shared" si="74"/>
        <v>$AC$33:$AC$34</v>
      </c>
      <c r="AF36" s="48" t="str">
        <f t="shared" si="75"/>
        <v>$AD$33:$AD$34</v>
      </c>
      <c r="AG36" s="50" t="e">
        <f t="shared" ca="1" si="63"/>
        <v>#N/A</v>
      </c>
      <c r="AH36" s="47"/>
      <c r="AI36" s="54" t="e">
        <f t="shared" si="76"/>
        <v>#N/A</v>
      </c>
      <c r="AJ36" s="50" t="e">
        <v>#N/A</v>
      </c>
      <c r="AK36" s="55" t="e">
        <v>#N/A</v>
      </c>
      <c r="AL36" s="55">
        <f t="array" ref="AL36">SUM(IF(ISNUMBER(AM$33:AM36),1,0))+IF($A36&gt;Capas_AT2_C1,1,0)</f>
        <v>1</v>
      </c>
      <c r="AM36" s="51" t="e">
        <f t="shared" si="77"/>
        <v>#N/A</v>
      </c>
      <c r="AN36" s="51" t="e">
        <f t="shared" si="78"/>
        <v>#N/A</v>
      </c>
      <c r="AO36" s="51" t="e">
        <f t="shared" si="79"/>
        <v>#N/A</v>
      </c>
      <c r="AP36" s="48" t="str">
        <f t="shared" si="80"/>
        <v>$AN$33:$AN$34</v>
      </c>
      <c r="AQ36" s="48" t="str">
        <f t="shared" si="81"/>
        <v>$AO$33:$AO$34</v>
      </c>
      <c r="AR36" s="50" t="e">
        <f t="shared" ca="1" si="64"/>
        <v>#N/A</v>
      </c>
      <c r="AS36" s="47"/>
      <c r="AT36" s="54" t="e">
        <f t="shared" si="82"/>
        <v>#N/A</v>
      </c>
      <c r="AU36" s="50" t="e">
        <v>#N/A</v>
      </c>
      <c r="AV36" s="55" t="e">
        <v>#N/A</v>
      </c>
      <c r="AW36" s="55">
        <f t="array" ref="AW36">SUM(IF(ISNUMBER(AX$33:AX36),1,0))+IF($A36&gt;Capas_AT2_C1,1,0)</f>
        <v>1</v>
      </c>
      <c r="AX36" s="50" t="e">
        <f t="shared" si="83"/>
        <v>#N/A</v>
      </c>
      <c r="AY36" s="51" t="e">
        <f t="shared" si="84"/>
        <v>#N/A</v>
      </c>
      <c r="AZ36" s="51" t="e">
        <f t="shared" si="65"/>
        <v>#N/A</v>
      </c>
      <c r="BA36" s="48" t="str">
        <f t="shared" si="85"/>
        <v>$AY$33:$AY$34</v>
      </c>
      <c r="BB36" s="48" t="str">
        <f t="shared" si="86"/>
        <v>$AZ$33:$AZ$34</v>
      </c>
      <c r="BC36" s="50" t="e">
        <f t="shared" ca="1" si="66"/>
        <v>#N/A</v>
      </c>
      <c r="BD36" s="47"/>
      <c r="BF36" s="43">
        <v>3</v>
      </c>
      <c r="BG36" s="15" t="e">
        <f t="shared" si="87"/>
        <v>#N/A</v>
      </c>
      <c r="BH36" s="56" t="e">
        <v>#N/A</v>
      </c>
      <c r="BI36" s="325" t="e">
        <f>IF(BG36="Interior",$BN$50,IFERROR(IF(VLOOKUP(Seccion2!I26,Materiales[],3,FALSE)=Aux!$AP$10,IF(LEFT(VLOOKUP(Seccion2!I26,Materiales[],5,FALSE),1)="C",HLOOKUP(RIGHT(VLOOKUP(Seccion2!I26,Materiales[],5,FALSE),4),IF($BM$49=Aux!$AK$11,Aire_horizontal[#All],IF($BM$49=Aux!$AK$12,Aire_ascendente[#All],Aire_descendente[#All])),MATCH(ROUND(VLOOKUP(Seccion2!I26,Materiales[],7,FALSE)*1000,0),IF($BM$49=Aux!$AK$11,Aire_horizontal[Espesor],IF($BM$49=Aux!$AK$12,Aire_ascendente[Espesor],Aire_descendente[Espesor])),1)+1,FALSE),IF(VLOOKUP(Seccion2!I26,Materiales[],5,FALSE)=Aux!$AQ$29,IF(MID(VLOOKUP(Seccion2!I26,Materiales[],8,FALSE),1,2)="R=",VALUE(RIGHT(VLOOKUP(Seccion2!I26,Materiales[],8,FALSE),LEN(VLOOKUP(Seccion2!I26,Materiales[],8,FALSE))-2)),NA()),VLOOKUP(VLOOKUP(Seccion2!I26,Materiales[],5,FALSE),Aux!$AQ$26:$AR$29,2,FALSE))),BH36/VLOOKUP(Seccion2!I26,Materiales[],8,FALSE)),NA()))</f>
        <v>#N/A</v>
      </c>
      <c r="BJ36" s="55" t="e">
        <v>#N/A</v>
      </c>
      <c r="BK36" s="51" t="e">
        <v>#N/A</v>
      </c>
      <c r="BL36" s="56" t="e">
        <f>IF(OR(BH36="",BH36="Interior"),NA(),SUM($BH$34:$BH36))</f>
        <v>#N/A</v>
      </c>
      <c r="BM36" s="48" t="e">
        <f>IF(BG36="",NA(),SUM($BI$33:$BI36))</f>
        <v>#N/A</v>
      </c>
      <c r="BN36" s="50" t="e">
        <v>#N/A</v>
      </c>
      <c r="BO36" s="52" t="e">
        <f>IF(BN36="",NA(),SUM($BN$33:$BN36))</f>
        <v>#N/A</v>
      </c>
      <c r="BP36" s="53" t="e">
        <v>#N/A</v>
      </c>
      <c r="BQ36" s="52" t="e">
        <v>#N/A</v>
      </c>
      <c r="BR36" s="54" t="e">
        <f t="shared" si="88"/>
        <v>#N/A</v>
      </c>
      <c r="BS36" s="50" t="e">
        <v>#N/A</v>
      </c>
      <c r="BT36" s="55" t="e">
        <v>#N/A</v>
      </c>
      <c r="BU36" s="55">
        <f t="array" ref="BU36">SUM(IF(ISNUMBER(BV$33:BV36),1,0))+IF($BF36&gt;Capas_AT2_C2,1,0)</f>
        <v>1</v>
      </c>
      <c r="BV36" s="51" t="e">
        <f t="shared" si="89"/>
        <v>#N/A</v>
      </c>
      <c r="BW36" s="51" t="e">
        <f t="shared" si="90"/>
        <v>#N/A</v>
      </c>
      <c r="BX36" s="51" t="e">
        <f t="shared" si="91"/>
        <v>#N/A</v>
      </c>
      <c r="BY36" s="48" t="str">
        <f t="shared" si="92"/>
        <v>$BW$33:$BW$34</v>
      </c>
      <c r="BZ36" s="48" t="str">
        <f t="shared" si="93"/>
        <v>$BX$33:$BX$34</v>
      </c>
      <c r="CA36" s="50" t="e">
        <f t="shared" ca="1" si="94"/>
        <v>#N/A</v>
      </c>
      <c r="CB36" s="47"/>
      <c r="CC36" s="54" t="e">
        <f t="shared" si="95"/>
        <v>#N/A</v>
      </c>
      <c r="CD36" s="50" t="e">
        <v>#N/A</v>
      </c>
      <c r="CE36" s="55" t="e">
        <v>#N/A</v>
      </c>
      <c r="CF36" s="55">
        <f t="array" ref="CF36">SUM(IF(ISNUMBER(CG$33:CG36),1,0))+IF($BF36&gt;Capas_AT2_C2,1,0)</f>
        <v>1</v>
      </c>
      <c r="CG36" s="51" t="e">
        <f t="shared" si="96"/>
        <v>#N/A</v>
      </c>
      <c r="CH36" s="51" t="e">
        <f t="shared" si="97"/>
        <v>#N/A</v>
      </c>
      <c r="CI36" s="51" t="e">
        <f t="shared" si="98"/>
        <v>#N/A</v>
      </c>
      <c r="CJ36" s="48" t="str">
        <f t="shared" si="99"/>
        <v>$CH$33:$CH$34</v>
      </c>
      <c r="CK36" s="48" t="str">
        <f t="shared" si="100"/>
        <v>$CI$33:$CI$34</v>
      </c>
      <c r="CL36" s="50" t="e">
        <f t="shared" ca="1" si="101"/>
        <v>#N/A</v>
      </c>
      <c r="CM36" s="47"/>
      <c r="CN36" s="54" t="e">
        <f t="shared" si="102"/>
        <v>#N/A</v>
      </c>
      <c r="CO36" s="50" t="e">
        <v>#N/A</v>
      </c>
      <c r="CP36" s="55" t="e">
        <v>#N/A</v>
      </c>
      <c r="CQ36" s="55">
        <f t="array" ref="CQ36">SUM(IF(ISNUMBER(CR$33:CR36),1,0))+IF($BF36&gt;Capas_AT2_C2,1,0)</f>
        <v>1</v>
      </c>
      <c r="CR36" s="51" t="e">
        <f t="shared" si="103"/>
        <v>#N/A</v>
      </c>
      <c r="CS36" s="51" t="e">
        <f t="shared" si="104"/>
        <v>#N/A</v>
      </c>
      <c r="CT36" s="51" t="e">
        <f t="shared" si="105"/>
        <v>#N/A</v>
      </c>
      <c r="CU36" s="48" t="str">
        <f t="shared" si="106"/>
        <v>$CS$33:$CS$34</v>
      </c>
      <c r="CV36" s="48" t="str">
        <f t="shared" si="107"/>
        <v>$CT$33:$CT$34</v>
      </c>
      <c r="CW36" s="50" t="e">
        <f t="shared" ca="1" si="108"/>
        <v>#N/A</v>
      </c>
      <c r="CX36" s="47"/>
      <c r="CY36" s="54" t="e">
        <f t="shared" si="109"/>
        <v>#N/A</v>
      </c>
      <c r="CZ36" s="50" t="e">
        <v>#N/A</v>
      </c>
      <c r="DA36" s="55" t="e">
        <v>#N/A</v>
      </c>
      <c r="DB36" s="55">
        <f t="array" ref="DB36">SUM(IF(ISNUMBER(DC$33:DC36),1,0))+IF($BF36&gt;Capas_AT2_C2,1,0)</f>
        <v>1</v>
      </c>
      <c r="DC36" s="51" t="e">
        <f t="shared" si="110"/>
        <v>#N/A</v>
      </c>
      <c r="DD36" s="51" t="e">
        <f t="shared" si="111"/>
        <v>#N/A</v>
      </c>
      <c r="DE36" s="51" t="e">
        <f t="shared" si="112"/>
        <v>#N/A</v>
      </c>
      <c r="DF36" s="48" t="str">
        <f t="shared" si="113"/>
        <v>$DD$33:$DD$34</v>
      </c>
      <c r="DG36" s="48" t="str">
        <f t="shared" si="114"/>
        <v>$DE$33:$DE$34</v>
      </c>
      <c r="DH36" s="50" t="e">
        <f t="shared" ca="1" si="115"/>
        <v>#N/A</v>
      </c>
      <c r="DI36" s="47"/>
    </row>
    <row r="37" spans="1:113" x14ac:dyDescent="0.25">
      <c r="A37" s="43">
        <v>4</v>
      </c>
      <c r="B37" s="15" t="e">
        <f t="shared" si="67"/>
        <v>#N/A</v>
      </c>
      <c r="C37" s="56" t="e">
        <v>#N/A</v>
      </c>
      <c r="D37" s="325" t="e">
        <f>IF(B37="Interior",Rsi_H2,IFERROR(IF(VLOOKUP(Seccion2!$B27,Materiales[],3,FALSE)=Aux!$AP$10,IF(LEFT(VLOOKUP(Seccion2!$B27,Materiales[],5,FALSE),1)="C",HLOOKUP(RIGHT(VLOOKUP(Seccion2!$B27,Materiales[],5,FALSE),4),IF($H$49=Aux!$AK$11,Aire_horizontal[#All],IF($H$49=Aux!$AK$12,Aire_ascendente[#All],Aire_descendente[#All])),MATCH(ROUND(VLOOKUP(Seccion2!$B27,Materiales[],7,FALSE)*1000,0),IF($H$49=Aux!$AK$11,Aire_horizontal[Espesor],IF($H$49=Aux!$AK$12,Aire_ascendente[Espesor],Aire_descendente[Espesor])),1)+1,FALSE),IF(VLOOKUP(Seccion2!$B27,Materiales[],5,FALSE)=Aux!$AQ$29,IF(MID(VLOOKUP(Seccion2!$B27,Materiales[],8,FALSE),1,2)="R=",VALUE(RIGHT(VLOOKUP(Seccion2!$B27,Materiales[],8,FALSE),LEN(VLOOKUP(Seccion2!$B27,Materiales[],8,FALSE))-2)),NA()),VLOOKUP(VLOOKUP(Seccion2!$B27,Materiales[],5,FALSE),Aux!$AQ$26:$AR$29,2,FALSE))),C37/VLOOKUP(Seccion2!$B27,Materiales[],8,FALSE)),NA()))</f>
        <v>#N/A</v>
      </c>
      <c r="E37" s="55" t="e">
        <v>#N/A</v>
      </c>
      <c r="F37" s="51" t="e">
        <v>#N/A</v>
      </c>
      <c r="G37" s="56" t="e">
        <f>IF(OR(B37="",B37="Interior"),NA(),SUM($C$34:$C37))</f>
        <v>#N/A</v>
      </c>
      <c r="H37" s="48" t="e">
        <f>IF(B37="",NA(),SUM($D$33:$D37))</f>
        <v>#N/A</v>
      </c>
      <c r="I37" s="50" t="e">
        <v>#N/A</v>
      </c>
      <c r="J37" s="52" t="e">
        <f>IF(I37="",NA(),SUM($I$33:$I37))</f>
        <v>#N/A</v>
      </c>
      <c r="K37" s="53" t="e">
        <v>#N/A</v>
      </c>
      <c r="L37" s="47" t="e">
        <v>#N/A</v>
      </c>
      <c r="M37" s="54" t="e">
        <f t="shared" si="68"/>
        <v>#N/A</v>
      </c>
      <c r="N37" s="51" t="e">
        <v>#N/A</v>
      </c>
      <c r="O37" s="55" t="e">
        <v>#N/A</v>
      </c>
      <c r="P37" s="51" t="e">
        <f t="shared" ca="1" si="58"/>
        <v>#N/A</v>
      </c>
      <c r="Q37" s="47"/>
      <c r="R37" s="55">
        <f t="array" ref="R37">SUM(IF(ISNUMBER(S$33:S37),1,0))+IF($A37&gt;Capas_AT2_C1,1,0)</f>
        <v>1</v>
      </c>
      <c r="S37" s="51" t="e">
        <f t="shared" si="69"/>
        <v>#N/A</v>
      </c>
      <c r="T37" s="51" t="e">
        <f t="shared" si="59"/>
        <v>#N/A</v>
      </c>
      <c r="U37" s="51" t="e">
        <f t="shared" si="60"/>
        <v>#N/A</v>
      </c>
      <c r="V37" s="48" t="str">
        <f t="shared" si="61"/>
        <v>$T$33:$T$34</v>
      </c>
      <c r="W37" s="48" t="str">
        <f t="shared" si="62"/>
        <v>$U$33:$U$34</v>
      </c>
      <c r="X37" s="54" t="e">
        <f t="shared" si="70"/>
        <v>#N/A</v>
      </c>
      <c r="Y37" s="50" t="e">
        <v>#N/A</v>
      </c>
      <c r="Z37" s="55" t="e">
        <v>#N/A</v>
      </c>
      <c r="AA37" s="55">
        <f t="array" ref="AA37">SUM(IF(ISNUMBER(AB$33:AB37),1,0))+IF($A37&gt;Capas_AT2_C1,1,0)</f>
        <v>1</v>
      </c>
      <c r="AB37" s="51" t="e">
        <f t="shared" si="71"/>
        <v>#N/A</v>
      </c>
      <c r="AC37" s="51" t="e">
        <f t="shared" si="72"/>
        <v>#N/A</v>
      </c>
      <c r="AD37" s="51" t="e">
        <f t="shared" si="73"/>
        <v>#N/A</v>
      </c>
      <c r="AE37" s="48" t="str">
        <f t="shared" si="74"/>
        <v>$AC$33:$AC$34</v>
      </c>
      <c r="AF37" s="48" t="str">
        <f t="shared" si="75"/>
        <v>$AD$33:$AD$34</v>
      </c>
      <c r="AG37" s="50" t="e">
        <f t="shared" ca="1" si="63"/>
        <v>#N/A</v>
      </c>
      <c r="AH37" s="47"/>
      <c r="AI37" s="54" t="e">
        <f t="shared" si="76"/>
        <v>#N/A</v>
      </c>
      <c r="AJ37" s="50" t="e">
        <v>#N/A</v>
      </c>
      <c r="AK37" s="55" t="e">
        <v>#N/A</v>
      </c>
      <c r="AL37" s="55">
        <f t="array" ref="AL37">SUM(IF(ISNUMBER(AM$33:AM37),1,0))+IF($A37&gt;Capas_AT2_C1,1,0)</f>
        <v>1</v>
      </c>
      <c r="AM37" s="51" t="e">
        <f t="shared" si="77"/>
        <v>#N/A</v>
      </c>
      <c r="AN37" s="51" t="e">
        <f t="shared" si="78"/>
        <v>#N/A</v>
      </c>
      <c r="AO37" s="51" t="e">
        <f t="shared" si="79"/>
        <v>#N/A</v>
      </c>
      <c r="AP37" s="48" t="str">
        <f t="shared" si="80"/>
        <v>$AN$33:$AN$34</v>
      </c>
      <c r="AQ37" s="48" t="str">
        <f t="shared" si="81"/>
        <v>$AO$33:$AO$34</v>
      </c>
      <c r="AR37" s="50" t="e">
        <f t="shared" ca="1" si="64"/>
        <v>#N/A</v>
      </c>
      <c r="AS37" s="47"/>
      <c r="AT37" s="54" t="e">
        <f t="shared" si="82"/>
        <v>#N/A</v>
      </c>
      <c r="AU37" s="50" t="e">
        <v>#N/A</v>
      </c>
      <c r="AV37" s="55" t="e">
        <v>#N/A</v>
      </c>
      <c r="AW37" s="55">
        <f t="array" ref="AW37">SUM(IF(ISNUMBER(AX$33:AX37),1,0))+IF($A37&gt;Capas_AT2_C1,1,0)</f>
        <v>1</v>
      </c>
      <c r="AX37" s="50" t="e">
        <f t="shared" si="83"/>
        <v>#N/A</v>
      </c>
      <c r="AY37" s="51" t="e">
        <f t="shared" si="84"/>
        <v>#N/A</v>
      </c>
      <c r="AZ37" s="51" t="e">
        <f t="shared" si="65"/>
        <v>#N/A</v>
      </c>
      <c r="BA37" s="48" t="str">
        <f t="shared" si="85"/>
        <v>$AY$33:$AY$34</v>
      </c>
      <c r="BB37" s="48" t="str">
        <f t="shared" si="86"/>
        <v>$AZ$33:$AZ$34</v>
      </c>
      <c r="BC37" s="50" t="e">
        <f t="shared" ca="1" si="66"/>
        <v>#N/A</v>
      </c>
      <c r="BD37" s="47"/>
      <c r="BF37" s="43">
        <v>4</v>
      </c>
      <c r="BG37" s="15" t="e">
        <f t="shared" si="87"/>
        <v>#N/A</v>
      </c>
      <c r="BH37" s="56" t="e">
        <v>#N/A</v>
      </c>
      <c r="BI37" s="325" t="e">
        <f>IF(BG37="Interior",$BN$50,IFERROR(IF(VLOOKUP(Seccion2!I27,Materiales[],3,FALSE)=Aux!$AP$10,IF(LEFT(VLOOKUP(Seccion2!I27,Materiales[],5,FALSE),1)="C",HLOOKUP(RIGHT(VLOOKUP(Seccion2!I27,Materiales[],5,FALSE),4),IF($BM$49=Aux!$AK$11,Aire_horizontal[#All],IF($BM$49=Aux!$AK$12,Aire_ascendente[#All],Aire_descendente[#All])),MATCH(ROUND(VLOOKUP(Seccion2!I27,Materiales[],7,FALSE)*1000,0),IF($BM$49=Aux!$AK$11,Aire_horizontal[Espesor],IF($BM$49=Aux!$AK$12,Aire_ascendente[Espesor],Aire_descendente[Espesor])),1)+1,FALSE),IF(VLOOKUP(Seccion2!I27,Materiales[],5,FALSE)=Aux!$AQ$29,IF(MID(VLOOKUP(Seccion2!I27,Materiales[],8,FALSE),1,2)="R=",VALUE(RIGHT(VLOOKUP(Seccion2!I27,Materiales[],8,FALSE),LEN(VLOOKUP(Seccion2!I27,Materiales[],8,FALSE))-2)),NA()),VLOOKUP(VLOOKUP(Seccion2!I27,Materiales[],5,FALSE),Aux!$AQ$26:$AR$29,2,FALSE))),BH37/VLOOKUP(Seccion2!I27,Materiales[],8,FALSE)),NA()))</f>
        <v>#N/A</v>
      </c>
      <c r="BJ37" s="55" t="e">
        <v>#N/A</v>
      </c>
      <c r="BK37" s="51" t="e">
        <v>#N/A</v>
      </c>
      <c r="BL37" s="56" t="e">
        <f>IF(OR(BH37="",BH37="Interior"),NA(),SUM($BH$34:$BH37))</f>
        <v>#N/A</v>
      </c>
      <c r="BM37" s="48" t="e">
        <f>IF(BG37="",NA(),SUM($BI$33:$BI37))</f>
        <v>#N/A</v>
      </c>
      <c r="BN37" s="50" t="e">
        <v>#N/A</v>
      </c>
      <c r="BO37" s="52" t="e">
        <f>IF(BN37="",NA(),SUM($BN$33:$BN37))</f>
        <v>#N/A</v>
      </c>
      <c r="BP37" s="53" t="e">
        <v>#N/A</v>
      </c>
      <c r="BQ37" s="52" t="e">
        <v>#N/A</v>
      </c>
      <c r="BR37" s="54" t="e">
        <f t="shared" si="88"/>
        <v>#N/A</v>
      </c>
      <c r="BS37" s="50" t="e">
        <v>#N/A</v>
      </c>
      <c r="BT37" s="55" t="e">
        <v>#N/A</v>
      </c>
      <c r="BU37" s="55">
        <f t="array" ref="BU37">SUM(IF(ISNUMBER(BV$33:BV37),1,0))+IF($BF37&gt;Capas_AT2_C2,1,0)</f>
        <v>1</v>
      </c>
      <c r="BV37" s="51" t="e">
        <f t="shared" si="89"/>
        <v>#N/A</v>
      </c>
      <c r="BW37" s="51" t="e">
        <f t="shared" si="90"/>
        <v>#N/A</v>
      </c>
      <c r="BX37" s="51" t="e">
        <f t="shared" si="91"/>
        <v>#N/A</v>
      </c>
      <c r="BY37" s="48" t="str">
        <f t="shared" si="92"/>
        <v>$BW$33:$BW$34</v>
      </c>
      <c r="BZ37" s="48" t="str">
        <f t="shared" si="93"/>
        <v>$BX$33:$BX$34</v>
      </c>
      <c r="CA37" s="50" t="e">
        <f t="shared" ca="1" si="94"/>
        <v>#N/A</v>
      </c>
      <c r="CB37" s="47"/>
      <c r="CC37" s="54" t="e">
        <f t="shared" si="95"/>
        <v>#N/A</v>
      </c>
      <c r="CD37" s="50" t="e">
        <v>#N/A</v>
      </c>
      <c r="CE37" s="55" t="e">
        <v>#N/A</v>
      </c>
      <c r="CF37" s="55">
        <f t="array" ref="CF37">SUM(IF(ISNUMBER(CG$33:CG37),1,0))+IF($BF37&gt;Capas_AT2_C2,1,0)</f>
        <v>1</v>
      </c>
      <c r="CG37" s="51" t="e">
        <f t="shared" si="96"/>
        <v>#N/A</v>
      </c>
      <c r="CH37" s="51" t="e">
        <f t="shared" si="97"/>
        <v>#N/A</v>
      </c>
      <c r="CI37" s="51" t="e">
        <f t="shared" si="98"/>
        <v>#N/A</v>
      </c>
      <c r="CJ37" s="48" t="str">
        <f t="shared" si="99"/>
        <v>$CH$33:$CH$34</v>
      </c>
      <c r="CK37" s="48" t="str">
        <f t="shared" si="100"/>
        <v>$CI$33:$CI$34</v>
      </c>
      <c r="CL37" s="50" t="e">
        <f t="shared" ca="1" si="101"/>
        <v>#N/A</v>
      </c>
      <c r="CM37" s="47"/>
      <c r="CN37" s="54" t="e">
        <f t="shared" si="102"/>
        <v>#N/A</v>
      </c>
      <c r="CO37" s="50" t="e">
        <v>#N/A</v>
      </c>
      <c r="CP37" s="55" t="e">
        <v>#N/A</v>
      </c>
      <c r="CQ37" s="55">
        <f t="array" ref="CQ37">SUM(IF(ISNUMBER(CR$33:CR37),1,0))+IF($BF37&gt;Capas_AT2_C2,1,0)</f>
        <v>1</v>
      </c>
      <c r="CR37" s="51" t="e">
        <f t="shared" si="103"/>
        <v>#N/A</v>
      </c>
      <c r="CS37" s="51" t="e">
        <f t="shared" si="104"/>
        <v>#N/A</v>
      </c>
      <c r="CT37" s="51" t="e">
        <f t="shared" si="105"/>
        <v>#N/A</v>
      </c>
      <c r="CU37" s="48" t="str">
        <f t="shared" si="106"/>
        <v>$CS$33:$CS$34</v>
      </c>
      <c r="CV37" s="48" t="str">
        <f t="shared" si="107"/>
        <v>$CT$33:$CT$34</v>
      </c>
      <c r="CW37" s="50" t="e">
        <f t="shared" ca="1" si="108"/>
        <v>#N/A</v>
      </c>
      <c r="CX37" s="47"/>
      <c r="CY37" s="54" t="e">
        <f t="shared" si="109"/>
        <v>#N/A</v>
      </c>
      <c r="CZ37" s="50" t="e">
        <v>#N/A</v>
      </c>
      <c r="DA37" s="55" t="e">
        <v>#N/A</v>
      </c>
      <c r="DB37" s="55">
        <f t="array" ref="DB37">SUM(IF(ISNUMBER(DC$33:DC37),1,0))+IF($BF37&gt;Capas_AT2_C2,1,0)</f>
        <v>1</v>
      </c>
      <c r="DC37" s="51" t="e">
        <f t="shared" si="110"/>
        <v>#N/A</v>
      </c>
      <c r="DD37" s="51" t="e">
        <f t="shared" si="111"/>
        <v>#N/A</v>
      </c>
      <c r="DE37" s="51" t="e">
        <f t="shared" si="112"/>
        <v>#N/A</v>
      </c>
      <c r="DF37" s="48" t="str">
        <f t="shared" si="113"/>
        <v>$DD$33:$DD$34</v>
      </c>
      <c r="DG37" s="48" t="str">
        <f t="shared" si="114"/>
        <v>$DE$33:$DE$34</v>
      </c>
      <c r="DH37" s="50" t="e">
        <f t="shared" ca="1" si="115"/>
        <v>#N/A</v>
      </c>
      <c r="DI37" s="47"/>
    </row>
    <row r="38" spans="1:113" x14ac:dyDescent="0.25">
      <c r="A38" s="43">
        <v>5</v>
      </c>
      <c r="B38" s="15" t="e">
        <f t="shared" si="67"/>
        <v>#N/A</v>
      </c>
      <c r="C38" s="56" t="e">
        <v>#N/A</v>
      </c>
      <c r="D38" s="325" t="e">
        <f>IF(B38="Interior",Rsi_H2,IFERROR(IF(VLOOKUP(Seccion2!$B28,Materiales[],3,FALSE)=Aux!$AP$10,IF(LEFT(VLOOKUP(Seccion2!$B28,Materiales[],5,FALSE),1)="C",HLOOKUP(RIGHT(VLOOKUP(Seccion2!$B28,Materiales[],5,FALSE),4),IF($H$49=Aux!$AK$11,Aire_horizontal[#All],IF($H$49=Aux!$AK$12,Aire_ascendente[#All],Aire_descendente[#All])),MATCH(ROUND(VLOOKUP(Seccion2!$B28,Materiales[],7,FALSE)*1000,0),IF($H$49=Aux!$AK$11,Aire_horizontal[Espesor],IF($H$49=Aux!$AK$12,Aire_ascendente[Espesor],Aire_descendente[Espesor])),1)+1,FALSE),IF(VLOOKUP(Seccion2!$B28,Materiales[],5,FALSE)=Aux!$AQ$29,IF(MID(VLOOKUP(Seccion2!$B28,Materiales[],8,FALSE),1,2)="R=",VALUE(RIGHT(VLOOKUP(Seccion2!$B28,Materiales[],8,FALSE),LEN(VLOOKUP(Seccion2!$B28,Materiales[],8,FALSE))-2)),NA()),VLOOKUP(VLOOKUP(Seccion2!$B28,Materiales[],5,FALSE),Aux!$AQ$26:$AR$29,2,FALSE))),C38/VLOOKUP(Seccion2!$B28,Materiales[],8,FALSE)),NA()))</f>
        <v>#N/A</v>
      </c>
      <c r="E38" s="55" t="e">
        <v>#N/A</v>
      </c>
      <c r="F38" s="51" t="e">
        <v>#N/A</v>
      </c>
      <c r="G38" s="56" t="e">
        <f>IF(OR(B38="",B38="Interior"),NA(),SUM($C$34:$C38))</f>
        <v>#N/A</v>
      </c>
      <c r="H38" s="48" t="e">
        <f>IF(B38="",NA(),SUM($D$33:$D38))</f>
        <v>#N/A</v>
      </c>
      <c r="I38" s="50" t="e">
        <v>#N/A</v>
      </c>
      <c r="J38" s="52" t="e">
        <f>IF(I38="",NA(),SUM($I$33:$I38))</f>
        <v>#N/A</v>
      </c>
      <c r="K38" s="53" t="e">
        <v>#N/A</v>
      </c>
      <c r="L38" s="47" t="e">
        <v>#N/A</v>
      </c>
      <c r="M38" s="54" t="e">
        <f t="shared" si="68"/>
        <v>#N/A</v>
      </c>
      <c r="N38" s="51" t="e">
        <v>#N/A</v>
      </c>
      <c r="O38" s="55" t="e">
        <v>#N/A</v>
      </c>
      <c r="P38" s="51" t="e">
        <f t="shared" ca="1" si="58"/>
        <v>#N/A</v>
      </c>
      <c r="Q38" s="47"/>
      <c r="R38" s="55">
        <f t="array" ref="R38">SUM(IF(ISNUMBER(S$33:S38),1,0))+IF($A38&gt;Capas_AT2_C1,1,0)</f>
        <v>1</v>
      </c>
      <c r="S38" s="51" t="e">
        <f t="shared" si="69"/>
        <v>#N/A</v>
      </c>
      <c r="T38" s="51" t="e">
        <f t="shared" si="59"/>
        <v>#N/A</v>
      </c>
      <c r="U38" s="51" t="e">
        <f t="shared" si="60"/>
        <v>#N/A</v>
      </c>
      <c r="V38" s="48" t="str">
        <f t="shared" si="61"/>
        <v>$T$33:$T$34</v>
      </c>
      <c r="W38" s="48" t="str">
        <f t="shared" si="62"/>
        <v>$U$33:$U$34</v>
      </c>
      <c r="X38" s="54" t="e">
        <f t="shared" si="70"/>
        <v>#N/A</v>
      </c>
      <c r="Y38" s="50" t="e">
        <v>#N/A</v>
      </c>
      <c r="Z38" s="55" t="e">
        <v>#N/A</v>
      </c>
      <c r="AA38" s="55">
        <f t="array" ref="AA38">SUM(IF(ISNUMBER(AB$33:AB38),1,0))+IF($A38&gt;Capas_AT2_C1,1,0)</f>
        <v>1</v>
      </c>
      <c r="AB38" s="51" t="e">
        <f t="shared" si="71"/>
        <v>#N/A</v>
      </c>
      <c r="AC38" s="51" t="e">
        <f t="shared" si="72"/>
        <v>#N/A</v>
      </c>
      <c r="AD38" s="51" t="e">
        <f t="shared" si="73"/>
        <v>#N/A</v>
      </c>
      <c r="AE38" s="48" t="str">
        <f t="shared" si="74"/>
        <v>$AC$33:$AC$34</v>
      </c>
      <c r="AF38" s="48" t="str">
        <f t="shared" si="75"/>
        <v>$AD$33:$AD$34</v>
      </c>
      <c r="AG38" s="50" t="e">
        <f t="shared" ca="1" si="63"/>
        <v>#N/A</v>
      </c>
      <c r="AH38" s="47"/>
      <c r="AI38" s="54" t="e">
        <f t="shared" si="76"/>
        <v>#N/A</v>
      </c>
      <c r="AJ38" s="50" t="e">
        <v>#N/A</v>
      </c>
      <c r="AK38" s="55" t="e">
        <v>#N/A</v>
      </c>
      <c r="AL38" s="55">
        <f t="array" ref="AL38">SUM(IF(ISNUMBER(AM$33:AM38),1,0))+IF($A38&gt;Capas_AT2_C1,1,0)</f>
        <v>1</v>
      </c>
      <c r="AM38" s="51" t="e">
        <f t="shared" si="77"/>
        <v>#N/A</v>
      </c>
      <c r="AN38" s="51" t="e">
        <f t="shared" si="78"/>
        <v>#N/A</v>
      </c>
      <c r="AO38" s="51" t="e">
        <f t="shared" si="79"/>
        <v>#N/A</v>
      </c>
      <c r="AP38" s="48" t="str">
        <f t="shared" si="80"/>
        <v>$AN$33:$AN$34</v>
      </c>
      <c r="AQ38" s="48" t="str">
        <f t="shared" si="81"/>
        <v>$AO$33:$AO$34</v>
      </c>
      <c r="AR38" s="50" t="e">
        <f t="shared" ca="1" si="64"/>
        <v>#N/A</v>
      </c>
      <c r="AS38" s="47"/>
      <c r="AT38" s="54" t="e">
        <f t="shared" si="82"/>
        <v>#N/A</v>
      </c>
      <c r="AU38" s="50" t="e">
        <v>#N/A</v>
      </c>
      <c r="AV38" s="55" t="e">
        <v>#N/A</v>
      </c>
      <c r="AW38" s="55">
        <f t="array" ref="AW38">SUM(IF(ISNUMBER(AX$33:AX38),1,0))+IF($A38&gt;Capas_AT2_C1,1,0)</f>
        <v>1</v>
      </c>
      <c r="AX38" s="50" t="e">
        <f t="shared" si="83"/>
        <v>#N/A</v>
      </c>
      <c r="AY38" s="51" t="e">
        <f t="shared" si="84"/>
        <v>#N/A</v>
      </c>
      <c r="AZ38" s="51" t="e">
        <f t="shared" si="65"/>
        <v>#N/A</v>
      </c>
      <c r="BA38" s="48" t="str">
        <f t="shared" si="85"/>
        <v>$AY$33:$AY$34</v>
      </c>
      <c r="BB38" s="48" t="str">
        <f t="shared" si="86"/>
        <v>$AZ$33:$AZ$34</v>
      </c>
      <c r="BC38" s="50" t="e">
        <f t="shared" ca="1" si="66"/>
        <v>#N/A</v>
      </c>
      <c r="BD38" s="47"/>
      <c r="BF38" s="43">
        <v>5</v>
      </c>
      <c r="BG38" s="15" t="e">
        <f t="shared" si="87"/>
        <v>#N/A</v>
      </c>
      <c r="BH38" s="56" t="e">
        <v>#N/A</v>
      </c>
      <c r="BI38" s="325" t="e">
        <f>IF(BG38="Interior",$BN$50,IFERROR(IF(VLOOKUP(Seccion2!I28,Materiales[],3,FALSE)=Aux!$AP$10,IF(LEFT(VLOOKUP(Seccion2!I28,Materiales[],5,FALSE),1)="C",HLOOKUP(RIGHT(VLOOKUP(Seccion2!I28,Materiales[],5,FALSE),4),IF($BM$49=Aux!$AK$11,Aire_horizontal[#All],IF($BM$49=Aux!$AK$12,Aire_ascendente[#All],Aire_descendente[#All])),MATCH(ROUND(VLOOKUP(Seccion2!I28,Materiales[],7,FALSE)*1000,0),IF($BM$49=Aux!$AK$11,Aire_horizontal[Espesor],IF($BM$49=Aux!$AK$12,Aire_ascendente[Espesor],Aire_descendente[Espesor])),1)+1,FALSE),IF(VLOOKUP(Seccion2!I28,Materiales[],5,FALSE)=Aux!$AQ$29,IF(MID(VLOOKUP(Seccion2!I28,Materiales[],8,FALSE),1,2)="R=",VALUE(RIGHT(VLOOKUP(Seccion2!I28,Materiales[],8,FALSE),LEN(VLOOKUP(Seccion2!I28,Materiales[],8,FALSE))-2)),NA()),VLOOKUP(VLOOKUP(Seccion2!I28,Materiales[],5,FALSE),Aux!$AQ$26:$AR$29,2,FALSE))),BH38/VLOOKUP(Seccion2!I28,Materiales[],8,FALSE)),NA()))</f>
        <v>#N/A</v>
      </c>
      <c r="BJ38" s="55" t="e">
        <v>#N/A</v>
      </c>
      <c r="BK38" s="51" t="e">
        <v>#N/A</v>
      </c>
      <c r="BL38" s="56" t="e">
        <f>IF(OR(BH38="",BH38="Interior"),NA(),SUM($BH$34:$BH38))</f>
        <v>#N/A</v>
      </c>
      <c r="BM38" s="48" t="e">
        <f>IF(BG38="",NA(),SUM($BI$33:$BI38))</f>
        <v>#N/A</v>
      </c>
      <c r="BN38" s="50" t="e">
        <v>#N/A</v>
      </c>
      <c r="BO38" s="52" t="e">
        <f>IF(BN38="",NA(),SUM($BN$33:$BN38))</f>
        <v>#N/A</v>
      </c>
      <c r="BP38" s="53" t="e">
        <v>#N/A</v>
      </c>
      <c r="BQ38" s="52" t="e">
        <v>#N/A</v>
      </c>
      <c r="BR38" s="54" t="e">
        <f t="shared" si="88"/>
        <v>#N/A</v>
      </c>
      <c r="BS38" s="50" t="e">
        <v>#N/A</v>
      </c>
      <c r="BT38" s="55" t="e">
        <v>#N/A</v>
      </c>
      <c r="BU38" s="55">
        <f t="array" ref="BU38">SUM(IF(ISNUMBER(BV$33:BV38),1,0))+IF($BF38&gt;Capas_AT2_C2,1,0)</f>
        <v>1</v>
      </c>
      <c r="BV38" s="51" t="e">
        <f t="shared" si="89"/>
        <v>#N/A</v>
      </c>
      <c r="BW38" s="51" t="e">
        <f t="shared" si="90"/>
        <v>#N/A</v>
      </c>
      <c r="BX38" s="51" t="e">
        <f t="shared" si="91"/>
        <v>#N/A</v>
      </c>
      <c r="BY38" s="48" t="str">
        <f t="shared" si="92"/>
        <v>$BW$33:$BW$34</v>
      </c>
      <c r="BZ38" s="48" t="str">
        <f t="shared" si="93"/>
        <v>$BX$33:$BX$34</v>
      </c>
      <c r="CA38" s="50" t="e">
        <f t="shared" ca="1" si="94"/>
        <v>#N/A</v>
      </c>
      <c r="CB38" s="47"/>
      <c r="CC38" s="54" t="e">
        <f t="shared" si="95"/>
        <v>#N/A</v>
      </c>
      <c r="CD38" s="50" t="e">
        <v>#N/A</v>
      </c>
      <c r="CE38" s="55" t="e">
        <v>#N/A</v>
      </c>
      <c r="CF38" s="55">
        <f t="array" ref="CF38">SUM(IF(ISNUMBER(CG$33:CG38),1,0))+IF($BF38&gt;Capas_AT2_C2,1,0)</f>
        <v>1</v>
      </c>
      <c r="CG38" s="51" t="e">
        <f t="shared" si="96"/>
        <v>#N/A</v>
      </c>
      <c r="CH38" s="51" t="e">
        <f t="shared" si="97"/>
        <v>#N/A</v>
      </c>
      <c r="CI38" s="51" t="e">
        <f t="shared" si="98"/>
        <v>#N/A</v>
      </c>
      <c r="CJ38" s="48" t="str">
        <f t="shared" si="99"/>
        <v>$CH$33:$CH$34</v>
      </c>
      <c r="CK38" s="48" t="str">
        <f t="shared" si="100"/>
        <v>$CI$33:$CI$34</v>
      </c>
      <c r="CL38" s="50" t="e">
        <f t="shared" ca="1" si="101"/>
        <v>#N/A</v>
      </c>
      <c r="CM38" s="47"/>
      <c r="CN38" s="54" t="e">
        <f t="shared" si="102"/>
        <v>#N/A</v>
      </c>
      <c r="CO38" s="50" t="e">
        <v>#N/A</v>
      </c>
      <c r="CP38" s="55" t="e">
        <v>#N/A</v>
      </c>
      <c r="CQ38" s="55">
        <f t="array" ref="CQ38">SUM(IF(ISNUMBER(CR$33:CR38),1,0))+IF($BF38&gt;Capas_AT2_C2,1,0)</f>
        <v>1</v>
      </c>
      <c r="CR38" s="51" t="e">
        <f t="shared" si="103"/>
        <v>#N/A</v>
      </c>
      <c r="CS38" s="51" t="e">
        <f t="shared" si="104"/>
        <v>#N/A</v>
      </c>
      <c r="CT38" s="51" t="e">
        <f t="shared" si="105"/>
        <v>#N/A</v>
      </c>
      <c r="CU38" s="48" t="str">
        <f t="shared" si="106"/>
        <v>$CS$33:$CS$34</v>
      </c>
      <c r="CV38" s="48" t="str">
        <f t="shared" si="107"/>
        <v>$CT$33:$CT$34</v>
      </c>
      <c r="CW38" s="50" t="e">
        <f t="shared" ca="1" si="108"/>
        <v>#N/A</v>
      </c>
      <c r="CX38" s="47"/>
      <c r="CY38" s="54" t="e">
        <f t="shared" si="109"/>
        <v>#N/A</v>
      </c>
      <c r="CZ38" s="50" t="e">
        <v>#N/A</v>
      </c>
      <c r="DA38" s="55" t="e">
        <v>#N/A</v>
      </c>
      <c r="DB38" s="55">
        <f t="array" ref="DB38">SUM(IF(ISNUMBER(DC$33:DC38),1,0))+IF($BF38&gt;Capas_AT2_C2,1,0)</f>
        <v>1</v>
      </c>
      <c r="DC38" s="51" t="e">
        <f t="shared" si="110"/>
        <v>#N/A</v>
      </c>
      <c r="DD38" s="51" t="e">
        <f t="shared" si="111"/>
        <v>#N/A</v>
      </c>
      <c r="DE38" s="51" t="e">
        <f t="shared" si="112"/>
        <v>#N/A</v>
      </c>
      <c r="DF38" s="48" t="str">
        <f t="shared" si="113"/>
        <v>$DD$33:$DD$34</v>
      </c>
      <c r="DG38" s="48" t="str">
        <f t="shared" si="114"/>
        <v>$DE$33:$DE$34</v>
      </c>
      <c r="DH38" s="50" t="e">
        <f t="shared" ca="1" si="115"/>
        <v>#N/A</v>
      </c>
      <c r="DI38" s="47"/>
    </row>
    <row r="39" spans="1:113" x14ac:dyDescent="0.25">
      <c r="A39" s="43">
        <v>6</v>
      </c>
      <c r="B39" s="15" t="e">
        <f t="shared" si="67"/>
        <v>#N/A</v>
      </c>
      <c r="C39" s="56" t="e">
        <v>#N/A</v>
      </c>
      <c r="D39" s="325" t="e">
        <f>IF(B39="Interior",Rsi_H2,IFERROR(IF(VLOOKUP(Seccion2!$B29,Materiales[],3,FALSE)=Aux!$AP$10,IF(LEFT(VLOOKUP(Seccion2!$B29,Materiales[],5,FALSE),1)="C",HLOOKUP(RIGHT(VLOOKUP(Seccion2!$B29,Materiales[],5,FALSE),4),IF($H$49=Aux!$AK$11,Aire_horizontal[#All],IF($H$49=Aux!$AK$12,Aire_ascendente[#All],Aire_descendente[#All])),MATCH(ROUND(VLOOKUP(Seccion2!$B29,Materiales[],7,FALSE)*1000,0),IF($H$49=Aux!$AK$11,Aire_horizontal[Espesor],IF($H$49=Aux!$AK$12,Aire_ascendente[Espesor],Aire_descendente[Espesor])),1)+1,FALSE),IF(VLOOKUP(Seccion2!$B29,Materiales[],5,FALSE)=Aux!$AQ$29,IF(MID(VLOOKUP(Seccion2!$B29,Materiales[],8,FALSE),1,2)="R=",VALUE(RIGHT(VLOOKUP(Seccion2!$B29,Materiales[],8,FALSE),LEN(VLOOKUP(Seccion2!$B29,Materiales[],8,FALSE))-2)),NA()),VLOOKUP(VLOOKUP(Seccion2!$B29,Materiales[],5,FALSE),Aux!$AQ$26:$AR$29,2,FALSE))),C39/VLOOKUP(Seccion2!$B29,Materiales[],8,FALSE)),NA()))</f>
        <v>#N/A</v>
      </c>
      <c r="E39" s="55" t="e">
        <v>#N/A</v>
      </c>
      <c r="F39" s="51" t="e">
        <v>#N/A</v>
      </c>
      <c r="G39" s="56" t="e">
        <f>IF(OR(B39="",B39="Interior"),NA(),SUM($C$34:$C39))</f>
        <v>#N/A</v>
      </c>
      <c r="H39" s="48" t="e">
        <f>IF(B39="",NA(),SUM($D$33:$D39))</f>
        <v>#N/A</v>
      </c>
      <c r="I39" s="50" t="e">
        <v>#N/A</v>
      </c>
      <c r="J39" s="52" t="e">
        <f>IF(I39="",NA(),SUM($I$33:$I39))</f>
        <v>#N/A</v>
      </c>
      <c r="K39" s="53" t="e">
        <v>#N/A</v>
      </c>
      <c r="L39" s="47" t="e">
        <v>#N/A</v>
      </c>
      <c r="M39" s="54" t="e">
        <f t="shared" si="68"/>
        <v>#N/A</v>
      </c>
      <c r="N39" s="51" t="e">
        <v>#N/A</v>
      </c>
      <c r="O39" s="55" t="e">
        <v>#N/A</v>
      </c>
      <c r="P39" s="51" t="e">
        <f t="shared" ca="1" si="58"/>
        <v>#N/A</v>
      </c>
      <c r="Q39" s="47"/>
      <c r="R39" s="55">
        <f t="array" ref="R39">SUM(IF(ISNUMBER(S$33:S39),1,0))+IF($A39&gt;Capas_AT2_C1,1,0)</f>
        <v>1</v>
      </c>
      <c r="S39" s="51" t="e">
        <f t="shared" si="69"/>
        <v>#N/A</v>
      </c>
      <c r="T39" s="51" t="e">
        <f t="shared" si="59"/>
        <v>#N/A</v>
      </c>
      <c r="U39" s="51" t="e">
        <f t="shared" si="60"/>
        <v>#N/A</v>
      </c>
      <c r="V39" s="48" t="str">
        <f t="shared" si="61"/>
        <v>$T$33:$T$34</v>
      </c>
      <c r="W39" s="48" t="str">
        <f t="shared" si="62"/>
        <v>$U$33:$U$34</v>
      </c>
      <c r="X39" s="54" t="e">
        <f t="shared" si="70"/>
        <v>#N/A</v>
      </c>
      <c r="Y39" s="50" t="e">
        <v>#N/A</v>
      </c>
      <c r="Z39" s="55" t="e">
        <v>#N/A</v>
      </c>
      <c r="AA39" s="55">
        <f t="array" ref="AA39">SUM(IF(ISNUMBER(AB$33:AB39),1,0))+IF($A39&gt;Capas_AT2_C1,1,0)</f>
        <v>1</v>
      </c>
      <c r="AB39" s="51" t="e">
        <f t="shared" si="71"/>
        <v>#N/A</v>
      </c>
      <c r="AC39" s="51" t="e">
        <f t="shared" si="72"/>
        <v>#N/A</v>
      </c>
      <c r="AD39" s="51" t="e">
        <f t="shared" si="73"/>
        <v>#N/A</v>
      </c>
      <c r="AE39" s="48" t="str">
        <f t="shared" si="74"/>
        <v>$AC$33:$AC$34</v>
      </c>
      <c r="AF39" s="48" t="str">
        <f t="shared" si="75"/>
        <v>$AD$33:$AD$34</v>
      </c>
      <c r="AG39" s="50" t="e">
        <f t="shared" ca="1" si="63"/>
        <v>#N/A</v>
      </c>
      <c r="AH39" s="47"/>
      <c r="AI39" s="54" t="e">
        <f t="shared" si="76"/>
        <v>#N/A</v>
      </c>
      <c r="AJ39" s="50" t="e">
        <v>#N/A</v>
      </c>
      <c r="AK39" s="55" t="e">
        <v>#N/A</v>
      </c>
      <c r="AL39" s="55">
        <f t="array" ref="AL39">SUM(IF(ISNUMBER(AM$33:AM39),1,0))+IF($A39&gt;Capas_AT2_C1,1,0)</f>
        <v>1</v>
      </c>
      <c r="AM39" s="51" t="e">
        <f t="shared" si="77"/>
        <v>#N/A</v>
      </c>
      <c r="AN39" s="51" t="e">
        <f t="shared" si="78"/>
        <v>#N/A</v>
      </c>
      <c r="AO39" s="51" t="e">
        <f t="shared" si="79"/>
        <v>#N/A</v>
      </c>
      <c r="AP39" s="48" t="str">
        <f t="shared" si="80"/>
        <v>$AN$33:$AN$34</v>
      </c>
      <c r="AQ39" s="48" t="str">
        <f t="shared" si="81"/>
        <v>$AO$33:$AO$34</v>
      </c>
      <c r="AR39" s="50" t="e">
        <f t="shared" ca="1" si="64"/>
        <v>#N/A</v>
      </c>
      <c r="AS39" s="47"/>
      <c r="AT39" s="54" t="e">
        <f t="shared" si="82"/>
        <v>#N/A</v>
      </c>
      <c r="AU39" s="50" t="e">
        <v>#N/A</v>
      </c>
      <c r="AV39" s="55" t="e">
        <v>#N/A</v>
      </c>
      <c r="AW39" s="55">
        <f t="array" ref="AW39">SUM(IF(ISNUMBER(AX$33:AX39),1,0))+IF($A39&gt;Capas_AT2_C1,1,0)</f>
        <v>1</v>
      </c>
      <c r="AX39" s="50" t="e">
        <f t="shared" si="83"/>
        <v>#N/A</v>
      </c>
      <c r="AY39" s="51" t="e">
        <f t="shared" si="84"/>
        <v>#N/A</v>
      </c>
      <c r="AZ39" s="51" t="e">
        <f t="shared" si="65"/>
        <v>#N/A</v>
      </c>
      <c r="BA39" s="48" t="str">
        <f t="shared" si="85"/>
        <v>$AY$33:$AY$34</v>
      </c>
      <c r="BB39" s="48" t="str">
        <f t="shared" si="86"/>
        <v>$AZ$33:$AZ$34</v>
      </c>
      <c r="BC39" s="50" t="e">
        <f t="shared" ca="1" si="66"/>
        <v>#N/A</v>
      </c>
      <c r="BD39" s="47"/>
      <c r="BF39" s="43">
        <v>6</v>
      </c>
      <c r="BG39" s="15" t="e">
        <f t="shared" si="87"/>
        <v>#N/A</v>
      </c>
      <c r="BH39" s="56" t="e">
        <v>#N/A</v>
      </c>
      <c r="BI39" s="325" t="e">
        <f>IF(BG39="Interior",$BN$50,IFERROR(IF(VLOOKUP(Seccion2!I29,Materiales[],3,FALSE)=Aux!$AP$10,IF(LEFT(VLOOKUP(Seccion2!I29,Materiales[],5,FALSE),1)="C",HLOOKUP(RIGHT(VLOOKUP(Seccion2!I29,Materiales[],5,FALSE),4),IF($BM$49=Aux!$AK$11,Aire_horizontal[#All],IF($BM$49=Aux!$AK$12,Aire_ascendente[#All],Aire_descendente[#All])),MATCH(ROUND(VLOOKUP(Seccion2!I29,Materiales[],7,FALSE)*1000,0),IF($BM$49=Aux!$AK$11,Aire_horizontal[Espesor],IF($BM$49=Aux!$AK$12,Aire_ascendente[Espesor],Aire_descendente[Espesor])),1)+1,FALSE),IF(VLOOKUP(Seccion2!I29,Materiales[],5,FALSE)=Aux!$AQ$29,IF(MID(VLOOKUP(Seccion2!I29,Materiales[],8,FALSE),1,2)="R=",VALUE(RIGHT(VLOOKUP(Seccion2!I29,Materiales[],8,FALSE),LEN(VLOOKUP(Seccion2!I29,Materiales[],8,FALSE))-2)),NA()),VLOOKUP(VLOOKUP(Seccion2!I29,Materiales[],5,FALSE),Aux!$AQ$26:$AR$29,2,FALSE))),BH39/VLOOKUP(Seccion2!I29,Materiales[],8,FALSE)),NA()))</f>
        <v>#N/A</v>
      </c>
      <c r="BJ39" s="55" t="e">
        <v>#N/A</v>
      </c>
      <c r="BK39" s="51" t="e">
        <v>#N/A</v>
      </c>
      <c r="BL39" s="56" t="e">
        <f>IF(OR(BH39="",BH39="Interior"),NA(),SUM($BH$34:$BH39))</f>
        <v>#N/A</v>
      </c>
      <c r="BM39" s="48" t="e">
        <f>IF(BG39="",NA(),SUM($BI$33:$BI39))</f>
        <v>#N/A</v>
      </c>
      <c r="BN39" s="50" t="e">
        <v>#N/A</v>
      </c>
      <c r="BO39" s="52" t="e">
        <f>IF(BN39="",NA(),SUM($BN$33:$BN39))</f>
        <v>#N/A</v>
      </c>
      <c r="BP39" s="53" t="e">
        <v>#N/A</v>
      </c>
      <c r="BQ39" s="52" t="e">
        <v>#N/A</v>
      </c>
      <c r="BR39" s="54" t="e">
        <f t="shared" si="88"/>
        <v>#N/A</v>
      </c>
      <c r="BS39" s="50" t="e">
        <v>#N/A</v>
      </c>
      <c r="BT39" s="55" t="e">
        <v>#N/A</v>
      </c>
      <c r="BU39" s="55">
        <f t="array" ref="BU39">SUM(IF(ISNUMBER(BV$33:BV39),1,0))+IF($BF39&gt;Capas_AT2_C2,1,0)</f>
        <v>1</v>
      </c>
      <c r="BV39" s="51" t="e">
        <f t="shared" si="89"/>
        <v>#N/A</v>
      </c>
      <c r="BW39" s="51" t="e">
        <f t="shared" si="90"/>
        <v>#N/A</v>
      </c>
      <c r="BX39" s="51" t="e">
        <f t="shared" si="91"/>
        <v>#N/A</v>
      </c>
      <c r="BY39" s="48" t="str">
        <f t="shared" si="92"/>
        <v>$BW$33:$BW$34</v>
      </c>
      <c r="BZ39" s="48" t="str">
        <f t="shared" si="93"/>
        <v>$BX$33:$BX$34</v>
      </c>
      <c r="CA39" s="50" t="e">
        <f t="shared" ca="1" si="94"/>
        <v>#N/A</v>
      </c>
      <c r="CB39" s="47"/>
      <c r="CC39" s="54" t="e">
        <f t="shared" si="95"/>
        <v>#N/A</v>
      </c>
      <c r="CD39" s="50" t="e">
        <v>#N/A</v>
      </c>
      <c r="CE39" s="55" t="e">
        <v>#N/A</v>
      </c>
      <c r="CF39" s="55">
        <f t="array" ref="CF39">SUM(IF(ISNUMBER(CG$33:CG39),1,0))+IF($BF39&gt;Capas_AT2_C2,1,0)</f>
        <v>1</v>
      </c>
      <c r="CG39" s="51" t="e">
        <f t="shared" si="96"/>
        <v>#N/A</v>
      </c>
      <c r="CH39" s="51" t="e">
        <f t="shared" si="97"/>
        <v>#N/A</v>
      </c>
      <c r="CI39" s="51" t="e">
        <f t="shared" si="98"/>
        <v>#N/A</v>
      </c>
      <c r="CJ39" s="48" t="str">
        <f t="shared" si="99"/>
        <v>$CH$33:$CH$34</v>
      </c>
      <c r="CK39" s="48" t="str">
        <f t="shared" si="100"/>
        <v>$CI$33:$CI$34</v>
      </c>
      <c r="CL39" s="50" t="e">
        <f t="shared" ca="1" si="101"/>
        <v>#N/A</v>
      </c>
      <c r="CM39" s="47"/>
      <c r="CN39" s="54" t="e">
        <f t="shared" si="102"/>
        <v>#N/A</v>
      </c>
      <c r="CO39" s="50" t="e">
        <v>#N/A</v>
      </c>
      <c r="CP39" s="55" t="e">
        <v>#N/A</v>
      </c>
      <c r="CQ39" s="55">
        <f t="array" ref="CQ39">SUM(IF(ISNUMBER(CR$33:CR39),1,0))+IF($BF39&gt;Capas_AT2_C2,1,0)</f>
        <v>1</v>
      </c>
      <c r="CR39" s="51" t="e">
        <f t="shared" si="103"/>
        <v>#N/A</v>
      </c>
      <c r="CS39" s="51" t="e">
        <f t="shared" si="104"/>
        <v>#N/A</v>
      </c>
      <c r="CT39" s="51" t="e">
        <f t="shared" si="105"/>
        <v>#N/A</v>
      </c>
      <c r="CU39" s="48" t="str">
        <f t="shared" si="106"/>
        <v>$CS$33:$CS$34</v>
      </c>
      <c r="CV39" s="48" t="str">
        <f t="shared" si="107"/>
        <v>$CT$33:$CT$34</v>
      </c>
      <c r="CW39" s="50" t="e">
        <f t="shared" ca="1" si="108"/>
        <v>#N/A</v>
      </c>
      <c r="CX39" s="47"/>
      <c r="CY39" s="54" t="e">
        <f t="shared" si="109"/>
        <v>#N/A</v>
      </c>
      <c r="CZ39" s="50" t="e">
        <v>#N/A</v>
      </c>
      <c r="DA39" s="55" t="e">
        <v>#N/A</v>
      </c>
      <c r="DB39" s="55">
        <f t="array" ref="DB39">SUM(IF(ISNUMBER(DC$33:DC39),1,0))+IF($BF39&gt;Capas_AT2_C2,1,0)</f>
        <v>1</v>
      </c>
      <c r="DC39" s="51" t="e">
        <f t="shared" si="110"/>
        <v>#N/A</v>
      </c>
      <c r="DD39" s="51" t="e">
        <f t="shared" si="111"/>
        <v>#N/A</v>
      </c>
      <c r="DE39" s="51" t="e">
        <f t="shared" si="112"/>
        <v>#N/A</v>
      </c>
      <c r="DF39" s="48" t="str">
        <f t="shared" si="113"/>
        <v>$DD$33:$DD$34</v>
      </c>
      <c r="DG39" s="48" t="str">
        <f t="shared" si="114"/>
        <v>$DE$33:$DE$34</v>
      </c>
      <c r="DH39" s="50" t="e">
        <f t="shared" ca="1" si="115"/>
        <v>#N/A</v>
      </c>
      <c r="DI39" s="47"/>
    </row>
    <row r="40" spans="1:113" x14ac:dyDescent="0.25">
      <c r="A40" s="43">
        <v>7</v>
      </c>
      <c r="B40" s="15" t="e">
        <f t="shared" si="67"/>
        <v>#N/A</v>
      </c>
      <c r="C40" s="56" t="e">
        <v>#N/A</v>
      </c>
      <c r="D40" s="325" t="e">
        <f>IF(B40="Interior",Rsi_H2,IFERROR(IF(VLOOKUP(Seccion2!$B30,Materiales[],3,FALSE)=Aux!$AP$10,IF(LEFT(VLOOKUP(Seccion2!$B30,Materiales[],5,FALSE),1)="C",HLOOKUP(RIGHT(VLOOKUP(Seccion2!$B30,Materiales[],5,FALSE),4),IF($H$49=Aux!$AK$11,Aire_horizontal[#All],IF($H$49=Aux!$AK$12,Aire_ascendente[#All],Aire_descendente[#All])),MATCH(ROUND(VLOOKUP(Seccion2!$B30,Materiales[],7,FALSE)*1000,0),IF($H$49=Aux!$AK$11,Aire_horizontal[Espesor],IF($H$49=Aux!$AK$12,Aire_ascendente[Espesor],Aire_descendente[Espesor])),1)+1,FALSE),IF(VLOOKUP(Seccion2!$B30,Materiales[],5,FALSE)=Aux!$AQ$29,IF(MID(VLOOKUP(Seccion2!$B30,Materiales[],8,FALSE),1,2)="R=",VALUE(RIGHT(VLOOKUP(Seccion2!$B30,Materiales[],8,FALSE),LEN(VLOOKUP(Seccion2!$B30,Materiales[],8,FALSE))-2)),NA()),VLOOKUP(VLOOKUP(Seccion2!$B30,Materiales[],5,FALSE),Aux!$AQ$26:$AR$29,2,FALSE))),C40/VLOOKUP(Seccion2!$B30,Materiales[],8,FALSE)),NA()))</f>
        <v>#N/A</v>
      </c>
      <c r="E40" s="55" t="e">
        <v>#N/A</v>
      </c>
      <c r="F40" s="51" t="e">
        <v>#N/A</v>
      </c>
      <c r="G40" s="56" t="e">
        <f>IF(OR(B40="",B40="Interior"),NA(),SUM($C$34:$C40))</f>
        <v>#N/A</v>
      </c>
      <c r="H40" s="48" t="e">
        <f>IF(B40="",NA(),SUM($D$33:$D40))</f>
        <v>#N/A</v>
      </c>
      <c r="I40" s="50" t="e">
        <v>#N/A</v>
      </c>
      <c r="J40" s="52" t="e">
        <f>IF(I40="",NA(),SUM($I$33:$I40))</f>
        <v>#N/A</v>
      </c>
      <c r="K40" s="53" t="e">
        <v>#N/A</v>
      </c>
      <c r="L40" s="47" t="e">
        <v>#N/A</v>
      </c>
      <c r="M40" s="54" t="e">
        <f t="shared" si="68"/>
        <v>#N/A</v>
      </c>
      <c r="N40" s="51" t="e">
        <v>#N/A</v>
      </c>
      <c r="O40" s="55" t="e">
        <v>#N/A</v>
      </c>
      <c r="P40" s="51" t="e">
        <f t="shared" ca="1" si="58"/>
        <v>#N/A</v>
      </c>
      <c r="Q40" s="47"/>
      <c r="R40" s="55">
        <f t="array" ref="R40">SUM(IF(ISNUMBER(S$33:S40),1,0))+IF($A40&gt;Capas_AT2_C1,1,0)</f>
        <v>1</v>
      </c>
      <c r="S40" s="51" t="e">
        <f t="shared" si="69"/>
        <v>#N/A</v>
      </c>
      <c r="T40" s="51" t="e">
        <f t="shared" si="59"/>
        <v>#N/A</v>
      </c>
      <c r="U40" s="51" t="e">
        <f t="shared" si="60"/>
        <v>#N/A</v>
      </c>
      <c r="V40" s="48" t="str">
        <f t="shared" si="61"/>
        <v>$T$33:$T$34</v>
      </c>
      <c r="W40" s="48" t="str">
        <f t="shared" si="62"/>
        <v>$U$33:$U$34</v>
      </c>
      <c r="X40" s="54" t="e">
        <f t="shared" si="70"/>
        <v>#N/A</v>
      </c>
      <c r="Y40" s="50" t="e">
        <v>#N/A</v>
      </c>
      <c r="Z40" s="55" t="e">
        <v>#N/A</v>
      </c>
      <c r="AA40" s="55">
        <f t="array" ref="AA40">SUM(IF(ISNUMBER(AB$33:AB40),1,0))+IF($A40&gt;Capas_AT2_C1,1,0)</f>
        <v>1</v>
      </c>
      <c r="AB40" s="51" t="e">
        <f t="shared" si="71"/>
        <v>#N/A</v>
      </c>
      <c r="AC40" s="51" t="e">
        <f t="shared" si="72"/>
        <v>#N/A</v>
      </c>
      <c r="AD40" s="51" t="e">
        <f t="shared" si="73"/>
        <v>#N/A</v>
      </c>
      <c r="AE40" s="48" t="str">
        <f t="shared" si="74"/>
        <v>$AC$33:$AC$34</v>
      </c>
      <c r="AF40" s="48" t="str">
        <f t="shared" si="75"/>
        <v>$AD$33:$AD$34</v>
      </c>
      <c r="AG40" s="50" t="e">
        <f t="shared" ca="1" si="63"/>
        <v>#N/A</v>
      </c>
      <c r="AH40" s="47"/>
      <c r="AI40" s="54" t="e">
        <f t="shared" si="76"/>
        <v>#N/A</v>
      </c>
      <c r="AJ40" s="50" t="e">
        <v>#N/A</v>
      </c>
      <c r="AK40" s="55" t="e">
        <v>#N/A</v>
      </c>
      <c r="AL40" s="55">
        <f t="array" ref="AL40">SUM(IF(ISNUMBER(AM$33:AM40),1,0))+IF($A40&gt;Capas_AT2_C1,1,0)</f>
        <v>1</v>
      </c>
      <c r="AM40" s="51" t="e">
        <f t="shared" si="77"/>
        <v>#N/A</v>
      </c>
      <c r="AN40" s="51" t="e">
        <f t="shared" si="78"/>
        <v>#N/A</v>
      </c>
      <c r="AO40" s="51" t="e">
        <f t="shared" si="79"/>
        <v>#N/A</v>
      </c>
      <c r="AP40" s="48" t="str">
        <f t="shared" si="80"/>
        <v>$AN$33:$AN$34</v>
      </c>
      <c r="AQ40" s="48" t="str">
        <f t="shared" si="81"/>
        <v>$AO$33:$AO$34</v>
      </c>
      <c r="AR40" s="50" t="e">
        <f t="shared" ca="1" si="64"/>
        <v>#N/A</v>
      </c>
      <c r="AS40" s="47"/>
      <c r="AT40" s="54" t="e">
        <f t="shared" si="82"/>
        <v>#N/A</v>
      </c>
      <c r="AU40" s="50" t="e">
        <v>#N/A</v>
      </c>
      <c r="AV40" s="55" t="e">
        <v>#N/A</v>
      </c>
      <c r="AW40" s="55">
        <f t="array" ref="AW40">SUM(IF(ISNUMBER(AX$33:AX40),1,0))+IF($A40&gt;Capas_AT2_C1,1,0)</f>
        <v>1</v>
      </c>
      <c r="AX40" s="50" t="e">
        <f t="shared" si="83"/>
        <v>#N/A</v>
      </c>
      <c r="AY40" s="51" t="e">
        <f t="shared" si="84"/>
        <v>#N/A</v>
      </c>
      <c r="AZ40" s="51" t="e">
        <f t="shared" si="65"/>
        <v>#N/A</v>
      </c>
      <c r="BA40" s="48" t="str">
        <f t="shared" si="85"/>
        <v>$AY$33:$AY$34</v>
      </c>
      <c r="BB40" s="48" t="str">
        <f t="shared" si="86"/>
        <v>$AZ$33:$AZ$34</v>
      </c>
      <c r="BC40" s="50" t="e">
        <f t="shared" ca="1" si="66"/>
        <v>#N/A</v>
      </c>
      <c r="BD40" s="47"/>
      <c r="BF40" s="43">
        <v>7</v>
      </c>
      <c r="BG40" s="15" t="e">
        <f t="shared" si="87"/>
        <v>#N/A</v>
      </c>
      <c r="BH40" s="56" t="e">
        <v>#N/A</v>
      </c>
      <c r="BI40" s="325" t="e">
        <f>IF(BG40="Interior",$BN$50,IFERROR(IF(VLOOKUP(Seccion2!I30,Materiales[],3,FALSE)=Aux!$AP$10,IF(LEFT(VLOOKUP(Seccion2!I30,Materiales[],5,FALSE),1)="C",HLOOKUP(RIGHT(VLOOKUP(Seccion2!I30,Materiales[],5,FALSE),4),IF($BM$49=Aux!$AK$11,Aire_horizontal[#All],IF($BM$49=Aux!$AK$12,Aire_ascendente[#All],Aire_descendente[#All])),MATCH(ROUND(VLOOKUP(Seccion2!I30,Materiales[],7,FALSE)*1000,0),IF($BM$49=Aux!$AK$11,Aire_horizontal[Espesor],IF($BM$49=Aux!$AK$12,Aire_ascendente[Espesor],Aire_descendente[Espesor])),1)+1,FALSE),IF(VLOOKUP(Seccion2!I30,Materiales[],5,FALSE)=Aux!$AQ$29,IF(MID(VLOOKUP(Seccion2!I30,Materiales[],8,FALSE),1,2)="R=",VALUE(RIGHT(VLOOKUP(Seccion2!I30,Materiales[],8,FALSE),LEN(VLOOKUP(Seccion2!I30,Materiales[],8,FALSE))-2)),NA()),VLOOKUP(VLOOKUP(Seccion2!I30,Materiales[],5,FALSE),Aux!$AQ$26:$AR$29,2,FALSE))),BH40/VLOOKUP(Seccion2!I30,Materiales[],8,FALSE)),NA()))</f>
        <v>#N/A</v>
      </c>
      <c r="BJ40" s="55" t="e">
        <v>#N/A</v>
      </c>
      <c r="BK40" s="51" t="e">
        <v>#N/A</v>
      </c>
      <c r="BL40" s="56" t="e">
        <f>IF(OR(BH40="",BH40="Interior"),NA(),SUM($BH$34:$BH40))</f>
        <v>#N/A</v>
      </c>
      <c r="BM40" s="48" t="e">
        <f>IF(BG40="",NA(),SUM($BI$33:$BI40))</f>
        <v>#N/A</v>
      </c>
      <c r="BN40" s="50" t="e">
        <v>#N/A</v>
      </c>
      <c r="BO40" s="52" t="e">
        <f>IF(BN40="",NA(),SUM($BN$33:$BN40))</f>
        <v>#N/A</v>
      </c>
      <c r="BP40" s="53" t="e">
        <v>#N/A</v>
      </c>
      <c r="BQ40" s="52" t="e">
        <v>#N/A</v>
      </c>
      <c r="BR40" s="54" t="e">
        <f t="shared" si="88"/>
        <v>#N/A</v>
      </c>
      <c r="BS40" s="50" t="e">
        <v>#N/A</v>
      </c>
      <c r="BT40" s="55" t="e">
        <v>#N/A</v>
      </c>
      <c r="BU40" s="55">
        <f t="array" ref="BU40">SUM(IF(ISNUMBER(BV$33:BV40),1,0))+IF($BF40&gt;Capas_AT2_C2,1,0)</f>
        <v>1</v>
      </c>
      <c r="BV40" s="51" t="e">
        <f t="shared" si="89"/>
        <v>#N/A</v>
      </c>
      <c r="BW40" s="51" t="e">
        <f t="shared" si="90"/>
        <v>#N/A</v>
      </c>
      <c r="BX40" s="51" t="e">
        <f t="shared" si="91"/>
        <v>#N/A</v>
      </c>
      <c r="BY40" s="48" t="str">
        <f t="shared" si="92"/>
        <v>$BW$33:$BW$34</v>
      </c>
      <c r="BZ40" s="48" t="str">
        <f t="shared" si="93"/>
        <v>$BX$33:$BX$34</v>
      </c>
      <c r="CA40" s="50" t="e">
        <f t="shared" ca="1" si="94"/>
        <v>#N/A</v>
      </c>
      <c r="CB40" s="47"/>
      <c r="CC40" s="54" t="e">
        <f t="shared" si="95"/>
        <v>#N/A</v>
      </c>
      <c r="CD40" s="50" t="e">
        <v>#N/A</v>
      </c>
      <c r="CE40" s="55" t="e">
        <v>#N/A</v>
      </c>
      <c r="CF40" s="55">
        <f t="array" ref="CF40">SUM(IF(ISNUMBER(CG$33:CG40),1,0))+IF($BF40&gt;Capas_AT2_C2,1,0)</f>
        <v>1</v>
      </c>
      <c r="CG40" s="51" t="e">
        <f t="shared" si="96"/>
        <v>#N/A</v>
      </c>
      <c r="CH40" s="51" t="e">
        <f t="shared" si="97"/>
        <v>#N/A</v>
      </c>
      <c r="CI40" s="51" t="e">
        <f t="shared" si="98"/>
        <v>#N/A</v>
      </c>
      <c r="CJ40" s="48" t="str">
        <f t="shared" si="99"/>
        <v>$CH$33:$CH$34</v>
      </c>
      <c r="CK40" s="48" t="str">
        <f t="shared" si="100"/>
        <v>$CI$33:$CI$34</v>
      </c>
      <c r="CL40" s="50" t="e">
        <f t="shared" ca="1" si="101"/>
        <v>#N/A</v>
      </c>
      <c r="CM40" s="47"/>
      <c r="CN40" s="54" t="e">
        <f t="shared" si="102"/>
        <v>#N/A</v>
      </c>
      <c r="CO40" s="50" t="e">
        <v>#N/A</v>
      </c>
      <c r="CP40" s="55" t="e">
        <v>#N/A</v>
      </c>
      <c r="CQ40" s="55">
        <f t="array" ref="CQ40">SUM(IF(ISNUMBER(CR$33:CR40),1,0))+IF($BF40&gt;Capas_AT2_C2,1,0)</f>
        <v>1</v>
      </c>
      <c r="CR40" s="51" t="e">
        <f t="shared" si="103"/>
        <v>#N/A</v>
      </c>
      <c r="CS40" s="51" t="e">
        <f t="shared" si="104"/>
        <v>#N/A</v>
      </c>
      <c r="CT40" s="51" t="e">
        <f t="shared" si="105"/>
        <v>#N/A</v>
      </c>
      <c r="CU40" s="48" t="str">
        <f t="shared" si="106"/>
        <v>$CS$33:$CS$34</v>
      </c>
      <c r="CV40" s="48" t="str">
        <f t="shared" si="107"/>
        <v>$CT$33:$CT$34</v>
      </c>
      <c r="CW40" s="50" t="e">
        <f t="shared" ca="1" si="108"/>
        <v>#N/A</v>
      </c>
      <c r="CX40" s="47"/>
      <c r="CY40" s="54" t="e">
        <f t="shared" si="109"/>
        <v>#N/A</v>
      </c>
      <c r="CZ40" s="50" t="e">
        <v>#N/A</v>
      </c>
      <c r="DA40" s="55" t="e">
        <v>#N/A</v>
      </c>
      <c r="DB40" s="55">
        <f t="array" ref="DB40">SUM(IF(ISNUMBER(DC$33:DC40),1,0))+IF($BF40&gt;Capas_AT2_C2,1,0)</f>
        <v>1</v>
      </c>
      <c r="DC40" s="51" t="e">
        <f t="shared" si="110"/>
        <v>#N/A</v>
      </c>
      <c r="DD40" s="51" t="e">
        <f t="shared" si="111"/>
        <v>#N/A</v>
      </c>
      <c r="DE40" s="51" t="e">
        <f t="shared" si="112"/>
        <v>#N/A</v>
      </c>
      <c r="DF40" s="48" t="str">
        <f t="shared" si="113"/>
        <v>$DD$33:$DD$34</v>
      </c>
      <c r="DG40" s="48" t="str">
        <f t="shared" si="114"/>
        <v>$DE$33:$DE$34</v>
      </c>
      <c r="DH40" s="50" t="e">
        <f t="shared" ca="1" si="115"/>
        <v>#N/A</v>
      </c>
      <c r="DI40" s="47"/>
    </row>
    <row r="41" spans="1:113" x14ac:dyDescent="0.25">
      <c r="A41" s="43">
        <v>8</v>
      </c>
      <c r="B41" s="15" t="e">
        <f t="shared" si="67"/>
        <v>#N/A</v>
      </c>
      <c r="C41" s="56" t="e">
        <v>#N/A</v>
      </c>
      <c r="D41" s="325" t="e">
        <f>IF(B41="Interior",Rsi_H2,IFERROR(IF(VLOOKUP(Seccion2!$B31,Materiales[],3,FALSE)=Aux!$AP$10,IF(LEFT(VLOOKUP(Seccion2!$B31,Materiales[],5,FALSE),1)="C",HLOOKUP(RIGHT(VLOOKUP(Seccion2!$B31,Materiales[],5,FALSE),4),IF($H$49=Aux!$AK$11,Aire_horizontal[#All],IF($H$49=Aux!$AK$12,Aire_ascendente[#All],Aire_descendente[#All])),MATCH(ROUND(VLOOKUP(Seccion2!$B31,Materiales[],7,FALSE)*1000,0),IF($H$49=Aux!$AK$11,Aire_horizontal[Espesor],IF($H$49=Aux!$AK$12,Aire_ascendente[Espesor],Aire_descendente[Espesor])),1)+1,FALSE),IF(VLOOKUP(Seccion2!$B31,Materiales[],5,FALSE)=Aux!$AQ$29,IF(MID(VLOOKUP(Seccion2!$B31,Materiales[],8,FALSE),1,2)="R=",VALUE(RIGHT(VLOOKUP(Seccion2!$B31,Materiales[],8,FALSE),LEN(VLOOKUP(Seccion2!$B31,Materiales[],8,FALSE))-2)),NA()),VLOOKUP(VLOOKUP(Seccion2!$B31,Materiales[],5,FALSE),Aux!$AQ$26:$AR$29,2,FALSE))),C41/VLOOKUP(Seccion2!$B31,Materiales[],8,FALSE)),NA()))</f>
        <v>#N/A</v>
      </c>
      <c r="E41" s="55" t="e">
        <v>#N/A</v>
      </c>
      <c r="F41" s="51" t="e">
        <v>#N/A</v>
      </c>
      <c r="G41" s="56" t="e">
        <f>IF(OR(B41="",B41="Interior"),NA(),SUM($C$34:$C41))</f>
        <v>#N/A</v>
      </c>
      <c r="H41" s="48" t="e">
        <f>IF(B41="",NA(),SUM($D$33:$D41))</f>
        <v>#N/A</v>
      </c>
      <c r="I41" s="50" t="e">
        <v>#N/A</v>
      </c>
      <c r="J41" s="52" t="e">
        <f>IF(I41="",NA(),SUM($I$33:$I41))</f>
        <v>#N/A</v>
      </c>
      <c r="K41" s="53" t="e">
        <v>#N/A</v>
      </c>
      <c r="L41" s="47" t="e">
        <v>#N/A</v>
      </c>
      <c r="M41" s="54" t="e">
        <f t="shared" si="68"/>
        <v>#N/A</v>
      </c>
      <c r="N41" s="51" t="e">
        <v>#N/A</v>
      </c>
      <c r="O41" s="55" t="e">
        <v>#N/A</v>
      </c>
      <c r="P41" s="51" t="e">
        <f t="shared" ca="1" si="58"/>
        <v>#N/A</v>
      </c>
      <c r="Q41" s="47"/>
      <c r="R41" s="55">
        <f t="array" ref="R41">SUM(IF(ISNUMBER(S$33:S41),1,0))+IF($A41&gt;Capas_AT2_C1,1,0)</f>
        <v>1</v>
      </c>
      <c r="S41" s="51" t="e">
        <f t="shared" si="69"/>
        <v>#N/A</v>
      </c>
      <c r="T41" s="51" t="e">
        <f t="shared" si="59"/>
        <v>#N/A</v>
      </c>
      <c r="U41" s="51" t="e">
        <f t="shared" si="60"/>
        <v>#N/A</v>
      </c>
      <c r="V41" s="48" t="str">
        <f t="shared" si="61"/>
        <v>$T$33:$T$34</v>
      </c>
      <c r="W41" s="48" t="str">
        <f t="shared" si="62"/>
        <v>$U$33:$U$34</v>
      </c>
      <c r="X41" s="54" t="e">
        <f t="shared" si="70"/>
        <v>#N/A</v>
      </c>
      <c r="Y41" s="50" t="e">
        <v>#N/A</v>
      </c>
      <c r="Z41" s="55" t="e">
        <v>#N/A</v>
      </c>
      <c r="AA41" s="55">
        <f t="array" ref="AA41">SUM(IF(ISNUMBER(AB$33:AB41),1,0))+IF($A41&gt;Capas_AT2_C1,1,0)</f>
        <v>1</v>
      </c>
      <c r="AB41" s="51" t="e">
        <f t="shared" si="71"/>
        <v>#N/A</v>
      </c>
      <c r="AC41" s="51" t="e">
        <f t="shared" si="72"/>
        <v>#N/A</v>
      </c>
      <c r="AD41" s="51" t="e">
        <f t="shared" si="73"/>
        <v>#N/A</v>
      </c>
      <c r="AE41" s="48" t="str">
        <f t="shared" si="74"/>
        <v>$AC$33:$AC$34</v>
      </c>
      <c r="AF41" s="48" t="str">
        <f t="shared" si="75"/>
        <v>$AD$33:$AD$34</v>
      </c>
      <c r="AG41" s="50" t="e">
        <f t="shared" ca="1" si="63"/>
        <v>#N/A</v>
      </c>
      <c r="AH41" s="47"/>
      <c r="AI41" s="54" t="e">
        <f t="shared" si="76"/>
        <v>#N/A</v>
      </c>
      <c r="AJ41" s="50" t="e">
        <v>#N/A</v>
      </c>
      <c r="AK41" s="55" t="e">
        <v>#N/A</v>
      </c>
      <c r="AL41" s="55">
        <f t="array" ref="AL41">SUM(IF(ISNUMBER(AM$33:AM41),1,0))+IF($A41&gt;Capas_AT2_C1,1,0)</f>
        <v>1</v>
      </c>
      <c r="AM41" s="51" t="e">
        <f t="shared" si="77"/>
        <v>#N/A</v>
      </c>
      <c r="AN41" s="51" t="e">
        <f t="shared" si="78"/>
        <v>#N/A</v>
      </c>
      <c r="AO41" s="51" t="e">
        <f t="shared" si="79"/>
        <v>#N/A</v>
      </c>
      <c r="AP41" s="48" t="str">
        <f t="shared" si="80"/>
        <v>$AN$33:$AN$34</v>
      </c>
      <c r="AQ41" s="48" t="str">
        <f t="shared" si="81"/>
        <v>$AO$33:$AO$34</v>
      </c>
      <c r="AR41" s="50" t="e">
        <f t="shared" ca="1" si="64"/>
        <v>#N/A</v>
      </c>
      <c r="AS41" s="47"/>
      <c r="AT41" s="54" t="e">
        <f t="shared" si="82"/>
        <v>#N/A</v>
      </c>
      <c r="AU41" s="50" t="e">
        <v>#N/A</v>
      </c>
      <c r="AV41" s="55" t="e">
        <v>#N/A</v>
      </c>
      <c r="AW41" s="55">
        <f t="array" ref="AW41">SUM(IF(ISNUMBER(AX$33:AX41),1,0))+IF($A41&gt;Capas_AT2_C1,1,0)</f>
        <v>1</v>
      </c>
      <c r="AX41" s="50" t="e">
        <f t="shared" si="83"/>
        <v>#N/A</v>
      </c>
      <c r="AY41" s="51" t="e">
        <f t="shared" si="84"/>
        <v>#N/A</v>
      </c>
      <c r="AZ41" s="51" t="e">
        <f t="shared" si="65"/>
        <v>#N/A</v>
      </c>
      <c r="BA41" s="48" t="str">
        <f t="shared" si="85"/>
        <v>$AY$33:$AY$34</v>
      </c>
      <c r="BB41" s="48" t="str">
        <f t="shared" si="86"/>
        <v>$AZ$33:$AZ$34</v>
      </c>
      <c r="BC41" s="50" t="e">
        <f t="shared" ca="1" si="66"/>
        <v>#N/A</v>
      </c>
      <c r="BD41" s="47"/>
      <c r="BF41" s="43">
        <v>8</v>
      </c>
      <c r="BG41" s="15" t="e">
        <f t="shared" si="87"/>
        <v>#N/A</v>
      </c>
      <c r="BH41" s="56" t="e">
        <v>#N/A</v>
      </c>
      <c r="BI41" s="325" t="e">
        <f>IF(BG41="Interior",$BN$50,IFERROR(IF(VLOOKUP(Seccion2!I31,Materiales[],3,FALSE)=Aux!$AP$10,IF(LEFT(VLOOKUP(Seccion2!I31,Materiales[],5,FALSE),1)="C",HLOOKUP(RIGHT(VLOOKUP(Seccion2!I31,Materiales[],5,FALSE),4),IF($BM$49=Aux!$AK$11,Aire_horizontal[#All],IF($BM$49=Aux!$AK$12,Aire_ascendente[#All],Aire_descendente[#All])),MATCH(ROUND(VLOOKUP(Seccion2!I31,Materiales[],7,FALSE)*1000,0),IF($BM$49=Aux!$AK$11,Aire_horizontal[Espesor],IF($BM$49=Aux!$AK$12,Aire_ascendente[Espesor],Aire_descendente[Espesor])),1)+1,FALSE),IF(VLOOKUP(Seccion2!I31,Materiales[],5,FALSE)=Aux!$AQ$29,IF(MID(VLOOKUP(Seccion2!I31,Materiales[],8,FALSE),1,2)="R=",VALUE(RIGHT(VLOOKUP(Seccion2!I31,Materiales[],8,FALSE),LEN(VLOOKUP(Seccion2!I31,Materiales[],8,FALSE))-2)),NA()),VLOOKUP(VLOOKUP(Seccion2!I31,Materiales[],5,FALSE),Aux!$AQ$26:$AR$29,2,FALSE))),BH41/VLOOKUP(Seccion2!I31,Materiales[],8,FALSE)),NA()))</f>
        <v>#N/A</v>
      </c>
      <c r="BJ41" s="55" t="e">
        <v>#N/A</v>
      </c>
      <c r="BK41" s="51" t="e">
        <v>#N/A</v>
      </c>
      <c r="BL41" s="56" t="e">
        <f>IF(OR(BH41="",BH41="Interior"),NA(),SUM($BH$34:$BH41))</f>
        <v>#N/A</v>
      </c>
      <c r="BM41" s="48" t="e">
        <f>IF(BG41="",NA(),SUM($BI$33:$BI41))</f>
        <v>#N/A</v>
      </c>
      <c r="BN41" s="50" t="e">
        <v>#N/A</v>
      </c>
      <c r="BO41" s="52" t="e">
        <f>IF(BN41="",NA(),SUM($BN$33:$BN41))</f>
        <v>#N/A</v>
      </c>
      <c r="BP41" s="53" t="e">
        <v>#N/A</v>
      </c>
      <c r="BQ41" s="52" t="e">
        <v>#N/A</v>
      </c>
      <c r="BR41" s="54" t="e">
        <f t="shared" si="88"/>
        <v>#N/A</v>
      </c>
      <c r="BS41" s="50" t="e">
        <v>#N/A</v>
      </c>
      <c r="BT41" s="55" t="e">
        <v>#N/A</v>
      </c>
      <c r="BU41" s="55">
        <f t="array" ref="BU41">SUM(IF(ISNUMBER(BV$33:BV41),1,0))+IF($BF41&gt;Capas_AT2_C2,1,0)</f>
        <v>1</v>
      </c>
      <c r="BV41" s="51" t="e">
        <f t="shared" si="89"/>
        <v>#N/A</v>
      </c>
      <c r="BW41" s="51" t="e">
        <f t="shared" si="90"/>
        <v>#N/A</v>
      </c>
      <c r="BX41" s="51" t="e">
        <f t="shared" si="91"/>
        <v>#N/A</v>
      </c>
      <c r="BY41" s="48" t="str">
        <f t="shared" si="92"/>
        <v>$BW$33:$BW$34</v>
      </c>
      <c r="BZ41" s="48" t="str">
        <f t="shared" si="93"/>
        <v>$BX$33:$BX$34</v>
      </c>
      <c r="CA41" s="50" t="e">
        <f t="shared" ca="1" si="94"/>
        <v>#N/A</v>
      </c>
      <c r="CB41" s="47"/>
      <c r="CC41" s="54" t="e">
        <f t="shared" si="95"/>
        <v>#N/A</v>
      </c>
      <c r="CD41" s="50" t="e">
        <v>#N/A</v>
      </c>
      <c r="CE41" s="55" t="e">
        <v>#N/A</v>
      </c>
      <c r="CF41" s="55">
        <f t="array" ref="CF41">SUM(IF(ISNUMBER(CG$33:CG41),1,0))+IF($BF41&gt;Capas_AT2_C2,1,0)</f>
        <v>1</v>
      </c>
      <c r="CG41" s="51" t="e">
        <f t="shared" si="96"/>
        <v>#N/A</v>
      </c>
      <c r="CH41" s="51" t="e">
        <f t="shared" si="97"/>
        <v>#N/A</v>
      </c>
      <c r="CI41" s="51" t="e">
        <f t="shared" si="98"/>
        <v>#N/A</v>
      </c>
      <c r="CJ41" s="48" t="str">
        <f t="shared" si="99"/>
        <v>$CH$33:$CH$34</v>
      </c>
      <c r="CK41" s="48" t="str">
        <f t="shared" si="100"/>
        <v>$CI$33:$CI$34</v>
      </c>
      <c r="CL41" s="50" t="e">
        <f t="shared" ca="1" si="101"/>
        <v>#N/A</v>
      </c>
      <c r="CM41" s="47"/>
      <c r="CN41" s="54" t="e">
        <f t="shared" si="102"/>
        <v>#N/A</v>
      </c>
      <c r="CO41" s="50" t="e">
        <v>#N/A</v>
      </c>
      <c r="CP41" s="55" t="e">
        <v>#N/A</v>
      </c>
      <c r="CQ41" s="55">
        <f t="array" ref="CQ41">SUM(IF(ISNUMBER(CR$33:CR41),1,0))+IF($BF41&gt;Capas_AT2_C2,1,0)</f>
        <v>1</v>
      </c>
      <c r="CR41" s="51" t="e">
        <f t="shared" si="103"/>
        <v>#N/A</v>
      </c>
      <c r="CS41" s="51" t="e">
        <f t="shared" si="104"/>
        <v>#N/A</v>
      </c>
      <c r="CT41" s="51" t="e">
        <f t="shared" si="105"/>
        <v>#N/A</v>
      </c>
      <c r="CU41" s="48" t="str">
        <f t="shared" si="106"/>
        <v>$CS$33:$CS$34</v>
      </c>
      <c r="CV41" s="48" t="str">
        <f t="shared" si="107"/>
        <v>$CT$33:$CT$34</v>
      </c>
      <c r="CW41" s="50" t="e">
        <f t="shared" ca="1" si="108"/>
        <v>#N/A</v>
      </c>
      <c r="CX41" s="47"/>
      <c r="CY41" s="54" t="e">
        <f t="shared" si="109"/>
        <v>#N/A</v>
      </c>
      <c r="CZ41" s="50" t="e">
        <v>#N/A</v>
      </c>
      <c r="DA41" s="55" t="e">
        <v>#N/A</v>
      </c>
      <c r="DB41" s="55">
        <f t="array" ref="DB41">SUM(IF(ISNUMBER(DC$33:DC41),1,0))+IF($BF41&gt;Capas_AT2_C2,1,0)</f>
        <v>1</v>
      </c>
      <c r="DC41" s="51" t="e">
        <f t="shared" si="110"/>
        <v>#N/A</v>
      </c>
      <c r="DD41" s="51" t="e">
        <f t="shared" si="111"/>
        <v>#N/A</v>
      </c>
      <c r="DE41" s="51" t="e">
        <f t="shared" si="112"/>
        <v>#N/A</v>
      </c>
      <c r="DF41" s="48" t="str">
        <f t="shared" si="113"/>
        <v>$DD$33:$DD$34</v>
      </c>
      <c r="DG41" s="48" t="str">
        <f t="shared" si="114"/>
        <v>$DE$33:$DE$34</v>
      </c>
      <c r="DH41" s="50" t="e">
        <f t="shared" ca="1" si="115"/>
        <v>#N/A</v>
      </c>
      <c r="DI41" s="47"/>
    </row>
    <row r="42" spans="1:113" x14ac:dyDescent="0.25">
      <c r="A42" s="43">
        <v>9</v>
      </c>
      <c r="B42" s="15" t="e">
        <f t="shared" si="67"/>
        <v>#N/A</v>
      </c>
      <c r="C42" s="56" t="e">
        <v>#N/A</v>
      </c>
      <c r="D42" s="325" t="e">
        <f>IF(B42="Interior",Rsi_H2,IFERROR(IF(VLOOKUP(Seccion2!$B32,Materiales[],3,FALSE)=Aux!$AP$10,IF(LEFT(VLOOKUP(Seccion2!$B32,Materiales[],5,FALSE),1)="C",HLOOKUP(RIGHT(VLOOKUP(Seccion2!$B32,Materiales[],5,FALSE),4),IF($H$49=Aux!$AK$11,Aire_horizontal[#All],IF($H$49=Aux!$AK$12,Aire_ascendente[#All],Aire_descendente[#All])),MATCH(ROUND(VLOOKUP(Seccion2!$B32,Materiales[],7,FALSE)*1000,0),IF($H$49=Aux!$AK$11,Aire_horizontal[Espesor],IF($H$49=Aux!$AK$12,Aire_ascendente[Espesor],Aire_descendente[Espesor])),1)+1,FALSE),IF(VLOOKUP(Seccion2!$B32,Materiales[],5,FALSE)=Aux!$AQ$29,IF(MID(VLOOKUP(Seccion2!$B32,Materiales[],8,FALSE),1,2)="R=",VALUE(RIGHT(VLOOKUP(Seccion2!$B32,Materiales[],8,FALSE),LEN(VLOOKUP(Seccion2!$B32,Materiales[],8,FALSE))-2)),NA()),VLOOKUP(VLOOKUP(Seccion2!$B32,Materiales[],5,FALSE),Aux!$AQ$26:$AR$29,2,FALSE))),C42/VLOOKUP(Seccion2!$B32,Materiales[],8,FALSE)),NA()))</f>
        <v>#N/A</v>
      </c>
      <c r="E42" s="55" t="e">
        <v>#N/A</v>
      </c>
      <c r="F42" s="51" t="e">
        <v>#N/A</v>
      </c>
      <c r="G42" s="56" t="e">
        <f>IF(OR(B42="",B42="Interior"),NA(),SUM($C$34:$C42))</f>
        <v>#N/A</v>
      </c>
      <c r="H42" s="48" t="e">
        <f>IF(B42="",NA(),SUM($D$33:$D42))</f>
        <v>#N/A</v>
      </c>
      <c r="I42" s="50" t="e">
        <v>#N/A</v>
      </c>
      <c r="J42" s="52" t="e">
        <f>IF(I42="",NA(),SUM($I$33:$I42))</f>
        <v>#N/A</v>
      </c>
      <c r="K42" s="53" t="e">
        <v>#N/A</v>
      </c>
      <c r="L42" s="47" t="e">
        <v>#N/A</v>
      </c>
      <c r="M42" s="54" t="e">
        <f t="shared" si="68"/>
        <v>#N/A</v>
      </c>
      <c r="N42" s="51" t="e">
        <v>#N/A</v>
      </c>
      <c r="O42" s="55" t="e">
        <v>#N/A</v>
      </c>
      <c r="P42" s="51" t="e">
        <f t="shared" ca="1" si="58"/>
        <v>#N/A</v>
      </c>
      <c r="Q42" s="47"/>
      <c r="R42" s="55">
        <f t="array" ref="R42">SUM(IF(ISNUMBER(S$33:S42),1,0))+IF($A42&gt;Capas_AT2_C1,1,0)</f>
        <v>1</v>
      </c>
      <c r="S42" s="51" t="e">
        <f t="shared" si="69"/>
        <v>#N/A</v>
      </c>
      <c r="T42" s="51" t="e">
        <f t="shared" si="59"/>
        <v>#N/A</v>
      </c>
      <c r="U42" s="51" t="e">
        <f t="shared" si="60"/>
        <v>#N/A</v>
      </c>
      <c r="V42" s="48" t="str">
        <f t="shared" si="61"/>
        <v>$T$33:$T$34</v>
      </c>
      <c r="W42" s="48" t="str">
        <f t="shared" si="62"/>
        <v>$U$33:$U$34</v>
      </c>
      <c r="X42" s="54" t="e">
        <f t="shared" si="70"/>
        <v>#N/A</v>
      </c>
      <c r="Y42" s="50" t="e">
        <v>#N/A</v>
      </c>
      <c r="Z42" s="55" t="e">
        <v>#N/A</v>
      </c>
      <c r="AA42" s="55">
        <f t="array" ref="AA42">SUM(IF(ISNUMBER(AB$33:AB42),1,0))+IF($A42&gt;Capas_AT2_C1,1,0)</f>
        <v>1</v>
      </c>
      <c r="AB42" s="51" t="e">
        <f t="shared" si="71"/>
        <v>#N/A</v>
      </c>
      <c r="AC42" s="51" t="e">
        <f t="shared" si="72"/>
        <v>#N/A</v>
      </c>
      <c r="AD42" s="51" t="e">
        <f t="shared" si="73"/>
        <v>#N/A</v>
      </c>
      <c r="AE42" s="48" t="str">
        <f t="shared" si="74"/>
        <v>$AC$33:$AC$34</v>
      </c>
      <c r="AF42" s="48" t="str">
        <f t="shared" si="75"/>
        <v>$AD$33:$AD$34</v>
      </c>
      <c r="AG42" s="50" t="e">
        <f t="shared" ca="1" si="63"/>
        <v>#N/A</v>
      </c>
      <c r="AH42" s="47"/>
      <c r="AI42" s="54" t="e">
        <f t="shared" si="76"/>
        <v>#N/A</v>
      </c>
      <c r="AJ42" s="50" t="e">
        <v>#N/A</v>
      </c>
      <c r="AK42" s="55" t="e">
        <v>#N/A</v>
      </c>
      <c r="AL42" s="55">
        <f t="array" ref="AL42">SUM(IF(ISNUMBER(AM$33:AM42),1,0))+IF($A42&gt;Capas_AT2_C1,1,0)</f>
        <v>1</v>
      </c>
      <c r="AM42" s="51" t="e">
        <f t="shared" si="77"/>
        <v>#N/A</v>
      </c>
      <c r="AN42" s="51" t="e">
        <f t="shared" si="78"/>
        <v>#N/A</v>
      </c>
      <c r="AO42" s="51" t="e">
        <f t="shared" si="79"/>
        <v>#N/A</v>
      </c>
      <c r="AP42" s="48" t="str">
        <f t="shared" si="80"/>
        <v>$AN$33:$AN$34</v>
      </c>
      <c r="AQ42" s="48" t="str">
        <f t="shared" si="81"/>
        <v>$AO$33:$AO$34</v>
      </c>
      <c r="AR42" s="50" t="e">
        <f t="shared" ca="1" si="64"/>
        <v>#N/A</v>
      </c>
      <c r="AS42" s="47"/>
      <c r="AT42" s="54" t="e">
        <f t="shared" si="82"/>
        <v>#N/A</v>
      </c>
      <c r="AU42" s="50" t="e">
        <v>#N/A</v>
      </c>
      <c r="AV42" s="55" t="e">
        <v>#N/A</v>
      </c>
      <c r="AW42" s="55">
        <f t="array" ref="AW42">SUM(IF(ISNUMBER(AX$33:AX42),1,0))+IF($A42&gt;Capas_AT2_C1,1,0)</f>
        <v>1</v>
      </c>
      <c r="AX42" s="50" t="e">
        <f t="shared" si="83"/>
        <v>#N/A</v>
      </c>
      <c r="AY42" s="51" t="e">
        <f t="shared" si="84"/>
        <v>#N/A</v>
      </c>
      <c r="AZ42" s="51" t="e">
        <f t="shared" si="65"/>
        <v>#N/A</v>
      </c>
      <c r="BA42" s="48" t="str">
        <f t="shared" si="85"/>
        <v>$AY$33:$AY$34</v>
      </c>
      <c r="BB42" s="48" t="str">
        <f t="shared" si="86"/>
        <v>$AZ$33:$AZ$34</v>
      </c>
      <c r="BC42" s="50" t="e">
        <f t="shared" ca="1" si="66"/>
        <v>#N/A</v>
      </c>
      <c r="BD42" s="47"/>
      <c r="BF42" s="43">
        <v>9</v>
      </c>
      <c r="BG42" s="15" t="e">
        <f t="shared" si="87"/>
        <v>#N/A</v>
      </c>
      <c r="BH42" s="56" t="e">
        <v>#N/A</v>
      </c>
      <c r="BI42" s="325" t="e">
        <f>IF(BG42="Interior",$BN$50,IFERROR(IF(VLOOKUP(Seccion2!I32,Materiales[],3,FALSE)=Aux!$AP$10,IF(LEFT(VLOOKUP(Seccion2!I32,Materiales[],5,FALSE),1)="C",HLOOKUP(RIGHT(VLOOKUP(Seccion2!I32,Materiales[],5,FALSE),4),IF($BM$49=Aux!$AK$11,Aire_horizontal[#All],IF($BM$49=Aux!$AK$12,Aire_ascendente[#All],Aire_descendente[#All])),MATCH(ROUND(VLOOKUP(Seccion2!I32,Materiales[],7,FALSE)*1000,0),IF($BM$49=Aux!$AK$11,Aire_horizontal[Espesor],IF($BM$49=Aux!$AK$12,Aire_ascendente[Espesor],Aire_descendente[Espesor])),1)+1,FALSE),IF(VLOOKUP(Seccion2!I32,Materiales[],5,FALSE)=Aux!$AQ$29,IF(MID(VLOOKUP(Seccion2!I32,Materiales[],8,FALSE),1,2)="R=",VALUE(RIGHT(VLOOKUP(Seccion2!I32,Materiales[],8,FALSE),LEN(VLOOKUP(Seccion2!I32,Materiales[],8,FALSE))-2)),NA()),VLOOKUP(VLOOKUP(Seccion2!I32,Materiales[],5,FALSE),Aux!$AQ$26:$AR$29,2,FALSE))),BH42/VLOOKUP(Seccion2!I32,Materiales[],8,FALSE)),NA()))</f>
        <v>#N/A</v>
      </c>
      <c r="BJ42" s="55" t="e">
        <v>#N/A</v>
      </c>
      <c r="BK42" s="51" t="e">
        <v>#N/A</v>
      </c>
      <c r="BL42" s="56" t="e">
        <f>IF(OR(BH42="",BH42="Interior"),NA(),SUM($BH$34:$BH42))</f>
        <v>#N/A</v>
      </c>
      <c r="BM42" s="48" t="e">
        <f>IF(BG42="",NA(),SUM($BI$33:$BI42))</f>
        <v>#N/A</v>
      </c>
      <c r="BN42" s="50" t="e">
        <v>#N/A</v>
      </c>
      <c r="BO42" s="52" t="e">
        <f>IF(BN42="",NA(),SUM($BN$33:$BN42))</f>
        <v>#N/A</v>
      </c>
      <c r="BP42" s="53" t="e">
        <v>#N/A</v>
      </c>
      <c r="BQ42" s="52" t="e">
        <v>#N/A</v>
      </c>
      <c r="BR42" s="54" t="e">
        <f t="shared" si="88"/>
        <v>#N/A</v>
      </c>
      <c r="BS42" s="50" t="e">
        <v>#N/A</v>
      </c>
      <c r="BT42" s="55" t="e">
        <v>#N/A</v>
      </c>
      <c r="BU42" s="55">
        <f t="array" ref="BU42">SUM(IF(ISNUMBER(BV$33:BV42),1,0))+IF($BF42&gt;Capas_AT2_C2,1,0)</f>
        <v>1</v>
      </c>
      <c r="BV42" s="51" t="e">
        <f t="shared" si="89"/>
        <v>#N/A</v>
      </c>
      <c r="BW42" s="51" t="e">
        <f t="shared" si="90"/>
        <v>#N/A</v>
      </c>
      <c r="BX42" s="51" t="e">
        <f t="shared" si="91"/>
        <v>#N/A</v>
      </c>
      <c r="BY42" s="48" t="str">
        <f t="shared" si="92"/>
        <v>$BW$33:$BW$34</v>
      </c>
      <c r="BZ42" s="48" t="str">
        <f t="shared" si="93"/>
        <v>$BX$33:$BX$34</v>
      </c>
      <c r="CA42" s="50" t="e">
        <f t="shared" ca="1" si="94"/>
        <v>#N/A</v>
      </c>
      <c r="CB42" s="47"/>
      <c r="CC42" s="54" t="e">
        <f t="shared" si="95"/>
        <v>#N/A</v>
      </c>
      <c r="CD42" s="50" t="e">
        <v>#N/A</v>
      </c>
      <c r="CE42" s="55" t="e">
        <v>#N/A</v>
      </c>
      <c r="CF42" s="55">
        <f t="array" ref="CF42">SUM(IF(ISNUMBER(CG$33:CG42),1,0))+IF($BF42&gt;Capas_AT2_C2,1,0)</f>
        <v>1</v>
      </c>
      <c r="CG42" s="51" t="e">
        <f t="shared" si="96"/>
        <v>#N/A</v>
      </c>
      <c r="CH42" s="51" t="e">
        <f t="shared" si="97"/>
        <v>#N/A</v>
      </c>
      <c r="CI42" s="51" t="e">
        <f t="shared" si="98"/>
        <v>#N/A</v>
      </c>
      <c r="CJ42" s="48" t="str">
        <f t="shared" si="99"/>
        <v>$CH$33:$CH$34</v>
      </c>
      <c r="CK42" s="48" t="str">
        <f t="shared" si="100"/>
        <v>$CI$33:$CI$34</v>
      </c>
      <c r="CL42" s="50" t="e">
        <f t="shared" ca="1" si="101"/>
        <v>#N/A</v>
      </c>
      <c r="CM42" s="47"/>
      <c r="CN42" s="54" t="e">
        <f t="shared" si="102"/>
        <v>#N/A</v>
      </c>
      <c r="CO42" s="50" t="e">
        <v>#N/A</v>
      </c>
      <c r="CP42" s="55" t="e">
        <v>#N/A</v>
      </c>
      <c r="CQ42" s="55">
        <f t="array" ref="CQ42">SUM(IF(ISNUMBER(CR$33:CR42),1,0))+IF($BF42&gt;Capas_AT2_C2,1,0)</f>
        <v>1</v>
      </c>
      <c r="CR42" s="51" t="e">
        <f t="shared" si="103"/>
        <v>#N/A</v>
      </c>
      <c r="CS42" s="51" t="e">
        <f t="shared" si="104"/>
        <v>#N/A</v>
      </c>
      <c r="CT42" s="51" t="e">
        <f t="shared" si="105"/>
        <v>#N/A</v>
      </c>
      <c r="CU42" s="48" t="str">
        <f t="shared" si="106"/>
        <v>$CS$33:$CS$34</v>
      </c>
      <c r="CV42" s="48" t="str">
        <f t="shared" si="107"/>
        <v>$CT$33:$CT$34</v>
      </c>
      <c r="CW42" s="50" t="e">
        <f t="shared" ca="1" si="108"/>
        <v>#N/A</v>
      </c>
      <c r="CX42" s="47"/>
      <c r="CY42" s="54" t="e">
        <f t="shared" si="109"/>
        <v>#N/A</v>
      </c>
      <c r="CZ42" s="50" t="e">
        <v>#N/A</v>
      </c>
      <c r="DA42" s="55" t="e">
        <v>#N/A</v>
      </c>
      <c r="DB42" s="55">
        <f t="array" ref="DB42">SUM(IF(ISNUMBER(DC$33:DC42),1,0))+IF($BF42&gt;Capas_AT2_C2,1,0)</f>
        <v>1</v>
      </c>
      <c r="DC42" s="51" t="e">
        <f t="shared" si="110"/>
        <v>#N/A</v>
      </c>
      <c r="DD42" s="51" t="e">
        <f t="shared" si="111"/>
        <v>#N/A</v>
      </c>
      <c r="DE42" s="51" t="e">
        <f t="shared" si="112"/>
        <v>#N/A</v>
      </c>
      <c r="DF42" s="48" t="str">
        <f t="shared" si="113"/>
        <v>$DD$33:$DD$34</v>
      </c>
      <c r="DG42" s="48" t="str">
        <f t="shared" si="114"/>
        <v>$DE$33:$DE$34</v>
      </c>
      <c r="DH42" s="50" t="e">
        <f t="shared" ca="1" si="115"/>
        <v>#N/A</v>
      </c>
      <c r="DI42" s="47"/>
    </row>
    <row r="43" spans="1:113" x14ac:dyDescent="0.25">
      <c r="A43" s="43">
        <v>10</v>
      </c>
      <c r="B43" s="15" t="e">
        <f t="shared" si="67"/>
        <v>#N/A</v>
      </c>
      <c r="C43" s="56" t="e">
        <v>#N/A</v>
      </c>
      <c r="D43" s="325" t="e">
        <f>IF(B43="Interior",Rsi_H2,IFERROR(IF(VLOOKUP(Seccion2!$B33,Materiales[],3,FALSE)=Aux!$AP$10,IF(LEFT(VLOOKUP(Seccion2!$B33,Materiales[],5,FALSE),1)="C",HLOOKUP(RIGHT(VLOOKUP(Seccion2!$B33,Materiales[],5,FALSE),4),IF($H$49=Aux!$AK$11,Aire_horizontal[#All],IF($H$49=Aux!$AK$12,Aire_ascendente[#All],Aire_descendente[#All])),MATCH(ROUND(VLOOKUP(Seccion2!$B33,Materiales[],7,FALSE)*1000,0),IF($H$49=Aux!$AK$11,Aire_horizontal[Espesor],IF($H$49=Aux!$AK$12,Aire_ascendente[Espesor],Aire_descendente[Espesor])),1)+1,FALSE),IF(VLOOKUP(Seccion2!$B33,Materiales[],5,FALSE)=Aux!$AQ$29,IF(MID(VLOOKUP(Seccion2!$B33,Materiales[],8,FALSE),1,2)="R=",VALUE(RIGHT(VLOOKUP(Seccion2!$B33,Materiales[],8,FALSE),LEN(VLOOKUP(Seccion2!$B33,Materiales[],8,FALSE))-2)),NA()),VLOOKUP(VLOOKUP(Seccion2!$B33,Materiales[],5,FALSE),Aux!$AQ$26:$AR$29,2,FALSE))),C43/VLOOKUP(Seccion2!$B33,Materiales[],8,FALSE)),NA()))</f>
        <v>#N/A</v>
      </c>
      <c r="E43" s="55" t="e">
        <v>#N/A</v>
      </c>
      <c r="F43" s="51" t="e">
        <v>#N/A</v>
      </c>
      <c r="G43" s="56" t="e">
        <f>IF(OR(B43="",B43="Interior"),NA(),SUM($C$34:$C43))</f>
        <v>#N/A</v>
      </c>
      <c r="H43" s="48" t="e">
        <f>IF(B43="",NA(),SUM($D$33:$D43))</f>
        <v>#N/A</v>
      </c>
      <c r="I43" s="50" t="e">
        <v>#N/A</v>
      </c>
      <c r="J43" s="52" t="e">
        <f>IF(I43="",NA(),SUM($I$33:$I43))</f>
        <v>#N/A</v>
      </c>
      <c r="K43" s="53" t="e">
        <v>#N/A</v>
      </c>
      <c r="L43" s="47" t="e">
        <v>#N/A</v>
      </c>
      <c r="M43" s="54" t="e">
        <f t="shared" si="68"/>
        <v>#N/A</v>
      </c>
      <c r="N43" s="51" t="e">
        <v>#N/A</v>
      </c>
      <c r="O43" s="55" t="e">
        <v>#N/A</v>
      </c>
      <c r="P43" s="51" t="e">
        <f t="shared" ca="1" si="58"/>
        <v>#N/A</v>
      </c>
      <c r="Q43" s="47"/>
      <c r="R43" s="55">
        <f t="array" ref="R43">SUM(IF(ISNUMBER(S$33:S43),1,0))+IF($A43&gt;Capas_AT2_C1,1,0)</f>
        <v>1</v>
      </c>
      <c r="S43" s="51" t="e">
        <f t="shared" si="69"/>
        <v>#N/A</v>
      </c>
      <c r="T43" s="51" t="e">
        <f t="shared" si="59"/>
        <v>#N/A</v>
      </c>
      <c r="U43" s="51" t="e">
        <f t="shared" si="60"/>
        <v>#N/A</v>
      </c>
      <c r="V43" s="48" t="str">
        <f t="shared" si="61"/>
        <v>$T$33:$T$34</v>
      </c>
      <c r="W43" s="48" t="str">
        <f t="shared" si="62"/>
        <v>$U$33:$U$34</v>
      </c>
      <c r="X43" s="54" t="e">
        <f t="shared" si="70"/>
        <v>#N/A</v>
      </c>
      <c r="Y43" s="50" t="e">
        <v>#N/A</v>
      </c>
      <c r="Z43" s="55" t="e">
        <v>#N/A</v>
      </c>
      <c r="AA43" s="55">
        <f t="array" ref="AA43">SUM(IF(ISNUMBER(AB$33:AB43),1,0))+IF($A43&gt;Capas_AT2_C1,1,0)</f>
        <v>1</v>
      </c>
      <c r="AB43" s="51" t="e">
        <f t="shared" si="71"/>
        <v>#N/A</v>
      </c>
      <c r="AC43" s="51" t="e">
        <f t="shared" si="72"/>
        <v>#N/A</v>
      </c>
      <c r="AD43" s="51" t="e">
        <f t="shared" si="73"/>
        <v>#N/A</v>
      </c>
      <c r="AE43" s="48" t="str">
        <f t="shared" si="74"/>
        <v>$AC$33:$AC$34</v>
      </c>
      <c r="AF43" s="48" t="str">
        <f t="shared" si="75"/>
        <v>$AD$33:$AD$34</v>
      </c>
      <c r="AG43" s="50" t="e">
        <f t="shared" ca="1" si="63"/>
        <v>#N/A</v>
      </c>
      <c r="AH43" s="47"/>
      <c r="AI43" s="54" t="e">
        <f t="shared" si="76"/>
        <v>#N/A</v>
      </c>
      <c r="AJ43" s="50" t="e">
        <v>#N/A</v>
      </c>
      <c r="AK43" s="55" t="e">
        <v>#N/A</v>
      </c>
      <c r="AL43" s="55">
        <f t="array" ref="AL43">SUM(IF(ISNUMBER(AM$33:AM43),1,0))+IF($A43&gt;Capas_AT2_C1,1,0)</f>
        <v>1</v>
      </c>
      <c r="AM43" s="51" t="e">
        <f t="shared" si="77"/>
        <v>#N/A</v>
      </c>
      <c r="AN43" s="51" t="e">
        <f t="shared" si="78"/>
        <v>#N/A</v>
      </c>
      <c r="AO43" s="51" t="e">
        <f t="shared" si="79"/>
        <v>#N/A</v>
      </c>
      <c r="AP43" s="48" t="str">
        <f t="shared" si="80"/>
        <v>$AN$33:$AN$34</v>
      </c>
      <c r="AQ43" s="48" t="str">
        <f t="shared" si="81"/>
        <v>$AO$33:$AO$34</v>
      </c>
      <c r="AR43" s="50" t="e">
        <f t="shared" ca="1" si="64"/>
        <v>#N/A</v>
      </c>
      <c r="AS43" s="47"/>
      <c r="AT43" s="54" t="e">
        <f t="shared" si="82"/>
        <v>#N/A</v>
      </c>
      <c r="AU43" s="50" t="e">
        <v>#N/A</v>
      </c>
      <c r="AV43" s="55" t="e">
        <v>#N/A</v>
      </c>
      <c r="AW43" s="55">
        <f t="array" ref="AW43">SUM(IF(ISNUMBER(AX$33:AX43),1,0))+IF($A43&gt;Capas_AT2_C1,1,0)</f>
        <v>1</v>
      </c>
      <c r="AX43" s="50" t="e">
        <f t="shared" si="83"/>
        <v>#N/A</v>
      </c>
      <c r="AY43" s="51" t="e">
        <f t="shared" si="84"/>
        <v>#N/A</v>
      </c>
      <c r="AZ43" s="51" t="e">
        <f t="shared" si="65"/>
        <v>#N/A</v>
      </c>
      <c r="BA43" s="48" t="str">
        <f t="shared" si="85"/>
        <v>$AY$33:$AY$34</v>
      </c>
      <c r="BB43" s="48" t="str">
        <f t="shared" si="86"/>
        <v>$AZ$33:$AZ$34</v>
      </c>
      <c r="BC43" s="50" t="e">
        <f t="shared" ca="1" si="66"/>
        <v>#N/A</v>
      </c>
      <c r="BD43" s="47"/>
      <c r="BF43" s="43">
        <v>10</v>
      </c>
      <c r="BG43" s="15" t="e">
        <f t="shared" si="87"/>
        <v>#N/A</v>
      </c>
      <c r="BH43" s="56" t="e">
        <v>#N/A</v>
      </c>
      <c r="BI43" s="325" t="e">
        <f>IF(BG43="Interior",$BN$50,IFERROR(IF(VLOOKUP(Seccion2!I33,Materiales[],3,FALSE)=Aux!$AP$10,IF(LEFT(VLOOKUP(Seccion2!I33,Materiales[],5,FALSE),1)="C",HLOOKUP(RIGHT(VLOOKUP(Seccion2!I33,Materiales[],5,FALSE),4),IF($BM$49=Aux!$AK$11,Aire_horizontal[#All],IF($BM$49=Aux!$AK$12,Aire_ascendente[#All],Aire_descendente[#All])),MATCH(ROUND(VLOOKUP(Seccion2!I33,Materiales[],7,FALSE)*1000,0),IF($BM$49=Aux!$AK$11,Aire_horizontal[Espesor],IF($BM$49=Aux!$AK$12,Aire_ascendente[Espesor],Aire_descendente[Espesor])),1)+1,FALSE),IF(VLOOKUP(Seccion2!I33,Materiales[],5,FALSE)=Aux!$AQ$29,IF(MID(VLOOKUP(Seccion2!I33,Materiales[],8,FALSE),1,2)="R=",VALUE(RIGHT(VLOOKUP(Seccion2!I33,Materiales[],8,FALSE),LEN(VLOOKUP(Seccion2!I33,Materiales[],8,FALSE))-2)),NA()),VLOOKUP(VLOOKUP(Seccion2!I33,Materiales[],5,FALSE),Aux!$AQ$26:$AR$29,2,FALSE))),BH43/VLOOKUP(Seccion2!I33,Materiales[],8,FALSE)),NA()))</f>
        <v>#N/A</v>
      </c>
      <c r="BJ43" s="55" t="e">
        <v>#N/A</v>
      </c>
      <c r="BK43" s="51" t="e">
        <v>#N/A</v>
      </c>
      <c r="BL43" s="56" t="e">
        <f>IF(OR(BH43="",BH43="Interior"),NA(),SUM($BH$34:$BH43))</f>
        <v>#N/A</v>
      </c>
      <c r="BM43" s="48" t="e">
        <f>IF(BG43="",NA(),SUM($BI$33:$BI43))</f>
        <v>#N/A</v>
      </c>
      <c r="BN43" s="50" t="e">
        <v>#N/A</v>
      </c>
      <c r="BO43" s="52" t="e">
        <f>IF(BN43="",NA(),SUM($BN$33:$BN43))</f>
        <v>#N/A</v>
      </c>
      <c r="BP43" s="53" t="e">
        <v>#N/A</v>
      </c>
      <c r="BQ43" s="52" t="e">
        <v>#N/A</v>
      </c>
      <c r="BR43" s="54" t="e">
        <f t="shared" si="88"/>
        <v>#N/A</v>
      </c>
      <c r="BS43" s="50" t="e">
        <v>#N/A</v>
      </c>
      <c r="BT43" s="55" t="e">
        <v>#N/A</v>
      </c>
      <c r="BU43" s="55">
        <f t="array" ref="BU43">SUM(IF(ISNUMBER(BV$33:BV43),1,0))+IF($BF43&gt;Capas_AT2_C2,1,0)</f>
        <v>1</v>
      </c>
      <c r="BV43" s="51" t="e">
        <f t="shared" si="89"/>
        <v>#N/A</v>
      </c>
      <c r="BW43" s="51" t="e">
        <f t="shared" si="90"/>
        <v>#N/A</v>
      </c>
      <c r="BX43" s="51" t="e">
        <f t="shared" si="91"/>
        <v>#N/A</v>
      </c>
      <c r="BY43" s="48" t="str">
        <f t="shared" si="92"/>
        <v>$BW$33:$BW$34</v>
      </c>
      <c r="BZ43" s="48" t="str">
        <f t="shared" si="93"/>
        <v>$BX$33:$BX$34</v>
      </c>
      <c r="CA43" s="50" t="e">
        <f t="shared" ca="1" si="94"/>
        <v>#N/A</v>
      </c>
      <c r="CB43" s="47"/>
      <c r="CC43" s="54" t="e">
        <f t="shared" si="95"/>
        <v>#N/A</v>
      </c>
      <c r="CD43" s="50" t="e">
        <v>#N/A</v>
      </c>
      <c r="CE43" s="55" t="e">
        <v>#N/A</v>
      </c>
      <c r="CF43" s="55">
        <f t="array" ref="CF43">SUM(IF(ISNUMBER(CG$33:CG43),1,0))+IF($BF43&gt;Capas_AT2_C2,1,0)</f>
        <v>1</v>
      </c>
      <c r="CG43" s="51" t="e">
        <f t="shared" si="96"/>
        <v>#N/A</v>
      </c>
      <c r="CH43" s="51" t="e">
        <f t="shared" si="97"/>
        <v>#N/A</v>
      </c>
      <c r="CI43" s="51" t="e">
        <f t="shared" si="98"/>
        <v>#N/A</v>
      </c>
      <c r="CJ43" s="48" t="str">
        <f t="shared" si="99"/>
        <v>$CH$33:$CH$34</v>
      </c>
      <c r="CK43" s="48" t="str">
        <f t="shared" si="100"/>
        <v>$CI$33:$CI$34</v>
      </c>
      <c r="CL43" s="50" t="e">
        <f t="shared" ca="1" si="101"/>
        <v>#N/A</v>
      </c>
      <c r="CM43" s="47"/>
      <c r="CN43" s="54" t="e">
        <f t="shared" si="102"/>
        <v>#N/A</v>
      </c>
      <c r="CO43" s="50" t="e">
        <v>#N/A</v>
      </c>
      <c r="CP43" s="55" t="e">
        <v>#N/A</v>
      </c>
      <c r="CQ43" s="55">
        <f t="array" ref="CQ43">SUM(IF(ISNUMBER(CR$33:CR43),1,0))+IF($BF43&gt;Capas_AT2_C2,1,0)</f>
        <v>1</v>
      </c>
      <c r="CR43" s="51" t="e">
        <f t="shared" si="103"/>
        <v>#N/A</v>
      </c>
      <c r="CS43" s="51" t="e">
        <f t="shared" si="104"/>
        <v>#N/A</v>
      </c>
      <c r="CT43" s="51" t="e">
        <f t="shared" si="105"/>
        <v>#N/A</v>
      </c>
      <c r="CU43" s="48" t="str">
        <f t="shared" si="106"/>
        <v>$CS$33:$CS$34</v>
      </c>
      <c r="CV43" s="48" t="str">
        <f t="shared" si="107"/>
        <v>$CT$33:$CT$34</v>
      </c>
      <c r="CW43" s="50" t="e">
        <f t="shared" ca="1" si="108"/>
        <v>#N/A</v>
      </c>
      <c r="CX43" s="47"/>
      <c r="CY43" s="54" t="e">
        <f t="shared" si="109"/>
        <v>#N/A</v>
      </c>
      <c r="CZ43" s="50" t="e">
        <v>#N/A</v>
      </c>
      <c r="DA43" s="55" t="e">
        <v>#N/A</v>
      </c>
      <c r="DB43" s="55">
        <f t="array" ref="DB43">SUM(IF(ISNUMBER(DC$33:DC43),1,0))+IF($BF43&gt;Capas_AT2_C2,1,0)</f>
        <v>1</v>
      </c>
      <c r="DC43" s="51" t="e">
        <f t="shared" si="110"/>
        <v>#N/A</v>
      </c>
      <c r="DD43" s="51" t="e">
        <f t="shared" si="111"/>
        <v>#N/A</v>
      </c>
      <c r="DE43" s="51" t="e">
        <f t="shared" si="112"/>
        <v>#N/A</v>
      </c>
      <c r="DF43" s="48" t="str">
        <f t="shared" si="113"/>
        <v>$DD$33:$DD$34</v>
      </c>
      <c r="DG43" s="48" t="str">
        <f t="shared" si="114"/>
        <v>$DE$33:$DE$34</v>
      </c>
      <c r="DH43" s="50" t="e">
        <f t="shared" ca="1" si="115"/>
        <v>#N/A</v>
      </c>
      <c r="DI43" s="47"/>
    </row>
    <row r="44" spans="1:113" x14ac:dyDescent="0.25">
      <c r="A44" s="43">
        <v>11</v>
      </c>
      <c r="B44" s="15" t="e">
        <f t="shared" si="67"/>
        <v>#N/A</v>
      </c>
      <c r="C44" s="56" t="e">
        <v>#N/A</v>
      </c>
      <c r="D44" s="325" t="e">
        <f>IF(B44="Interior",Rsi_H2,IFERROR(IF(VLOOKUP(Seccion2!$B34,Materiales[],3,FALSE)=Aux!$AP$10,IF(LEFT(VLOOKUP(Seccion2!$B34,Materiales[],5,FALSE),1)="C",HLOOKUP(RIGHT(VLOOKUP(Seccion2!$B34,Materiales[],5,FALSE),4),IF($H$49=Aux!$AK$11,Aire_horizontal[#All],IF($H$49=Aux!$AK$12,Aire_ascendente[#All],Aire_descendente[#All])),MATCH(ROUND(VLOOKUP(Seccion2!$B34,Materiales[],7,FALSE)*1000,0),IF($H$49=Aux!$AK$11,Aire_horizontal[Espesor],IF($H$49=Aux!$AK$12,Aire_ascendente[Espesor],Aire_descendente[Espesor])),1)+1,FALSE),IF(VLOOKUP(Seccion2!$B34,Materiales[],5,FALSE)=Aux!$AQ$29,IF(MID(VLOOKUP(Seccion2!$B34,Materiales[],8,FALSE),1,2)="R=",VALUE(RIGHT(VLOOKUP(Seccion2!$B34,Materiales[],8,FALSE),LEN(VLOOKUP(Seccion2!$B34,Materiales[],8,FALSE))-2)),NA()),VLOOKUP(VLOOKUP(Seccion2!$B34,Materiales[],5,FALSE),Aux!$AQ$26:$AR$29,2,FALSE))),C44/VLOOKUP(Seccion2!$B34,Materiales[],8,FALSE)),NA()))</f>
        <v>#N/A</v>
      </c>
      <c r="E44" s="55" t="e">
        <v>#N/A</v>
      </c>
      <c r="F44" s="51" t="e">
        <v>#N/A</v>
      </c>
      <c r="G44" s="56" t="e">
        <f>IF(OR(B44="",B44="Interior"),NA(),SUM($C$34:$C44))</f>
        <v>#N/A</v>
      </c>
      <c r="H44" s="48" t="e">
        <f>IF(B44="",NA(),SUM($D$33:$D44))</f>
        <v>#N/A</v>
      </c>
      <c r="I44" s="50" t="e">
        <v>#N/A</v>
      </c>
      <c r="J44" s="52" t="e">
        <f>IF(I44="",NA(),SUM($I$33:$I44))</f>
        <v>#N/A</v>
      </c>
      <c r="K44" s="53" t="e">
        <v>#N/A</v>
      </c>
      <c r="L44" s="47" t="e">
        <v>#N/A</v>
      </c>
      <c r="M44" s="54" t="e">
        <f t="shared" si="68"/>
        <v>#N/A</v>
      </c>
      <c r="N44" s="51" t="e">
        <v>#N/A</v>
      </c>
      <c r="O44" s="55" t="e">
        <v>#N/A</v>
      </c>
      <c r="P44" s="51" t="e">
        <f t="shared" ca="1" si="58"/>
        <v>#N/A</v>
      </c>
      <c r="Q44" s="47"/>
      <c r="R44" s="55">
        <f t="array" ref="R44">SUM(IF(ISNUMBER(S$33:S44),1,0))+IF($A44&gt;Capas_AT2_C1,1,0)</f>
        <v>1</v>
      </c>
      <c r="S44" s="51" t="e">
        <f t="shared" si="69"/>
        <v>#N/A</v>
      </c>
      <c r="T44" s="51" t="e">
        <f t="shared" si="59"/>
        <v>#N/A</v>
      </c>
      <c r="U44" s="51" t="e">
        <f t="shared" si="60"/>
        <v>#N/A</v>
      </c>
      <c r="V44" s="48" t="str">
        <f t="shared" si="61"/>
        <v>$T$33:$T$34</v>
      </c>
      <c r="W44" s="48" t="str">
        <f t="shared" si="62"/>
        <v>$U$33:$U$34</v>
      </c>
      <c r="X44" s="54" t="e">
        <f t="shared" si="70"/>
        <v>#N/A</v>
      </c>
      <c r="Y44" s="50" t="e">
        <v>#N/A</v>
      </c>
      <c r="Z44" s="55" t="e">
        <v>#N/A</v>
      </c>
      <c r="AA44" s="55">
        <f t="array" ref="AA44">SUM(IF(ISNUMBER(AB$33:AB44),1,0))+IF($A44&gt;Capas_AT2_C1,1,0)</f>
        <v>1</v>
      </c>
      <c r="AB44" s="51" t="e">
        <f t="shared" si="71"/>
        <v>#N/A</v>
      </c>
      <c r="AC44" s="51" t="e">
        <f t="shared" si="72"/>
        <v>#N/A</v>
      </c>
      <c r="AD44" s="51" t="e">
        <f t="shared" si="73"/>
        <v>#N/A</v>
      </c>
      <c r="AE44" s="48" t="str">
        <f t="shared" si="74"/>
        <v>$AC$33:$AC$34</v>
      </c>
      <c r="AF44" s="48" t="str">
        <f t="shared" si="75"/>
        <v>$AD$33:$AD$34</v>
      </c>
      <c r="AG44" s="50" t="e">
        <f t="shared" ca="1" si="63"/>
        <v>#N/A</v>
      </c>
      <c r="AH44" s="47"/>
      <c r="AI44" s="54" t="e">
        <f t="shared" si="76"/>
        <v>#N/A</v>
      </c>
      <c r="AJ44" s="50" t="e">
        <v>#N/A</v>
      </c>
      <c r="AK44" s="55" t="e">
        <v>#N/A</v>
      </c>
      <c r="AL44" s="55">
        <f t="array" ref="AL44">SUM(IF(ISNUMBER(AM$33:AM44),1,0))+IF($A44&gt;Capas_AT2_C1,1,0)</f>
        <v>1</v>
      </c>
      <c r="AM44" s="51" t="e">
        <f t="shared" si="77"/>
        <v>#N/A</v>
      </c>
      <c r="AN44" s="51" t="e">
        <f t="shared" si="78"/>
        <v>#N/A</v>
      </c>
      <c r="AO44" s="51" t="e">
        <f t="shared" si="79"/>
        <v>#N/A</v>
      </c>
      <c r="AP44" s="48" t="str">
        <f t="shared" si="80"/>
        <v>$AN$33:$AN$34</v>
      </c>
      <c r="AQ44" s="48" t="str">
        <f t="shared" si="81"/>
        <v>$AO$33:$AO$34</v>
      </c>
      <c r="AR44" s="50" t="e">
        <f t="shared" ca="1" si="64"/>
        <v>#N/A</v>
      </c>
      <c r="AS44" s="47"/>
      <c r="AT44" s="54" t="e">
        <f t="shared" si="82"/>
        <v>#N/A</v>
      </c>
      <c r="AU44" s="50" t="e">
        <v>#N/A</v>
      </c>
      <c r="AV44" s="55" t="e">
        <v>#N/A</v>
      </c>
      <c r="AW44" s="55">
        <f t="array" ref="AW44">SUM(IF(ISNUMBER(AX$33:AX44),1,0))+IF($A44&gt;Capas_AT2_C1,1,0)</f>
        <v>1</v>
      </c>
      <c r="AX44" s="50" t="e">
        <f t="shared" si="83"/>
        <v>#N/A</v>
      </c>
      <c r="AY44" s="51" t="e">
        <f t="shared" si="84"/>
        <v>#N/A</v>
      </c>
      <c r="AZ44" s="51" t="e">
        <f t="shared" si="65"/>
        <v>#N/A</v>
      </c>
      <c r="BA44" s="48" t="str">
        <f t="shared" si="85"/>
        <v>$AY$33:$AY$34</v>
      </c>
      <c r="BB44" s="48" t="str">
        <f t="shared" si="86"/>
        <v>$AZ$33:$AZ$34</v>
      </c>
      <c r="BC44" s="50" t="e">
        <f t="shared" ca="1" si="66"/>
        <v>#N/A</v>
      </c>
      <c r="BD44" s="47"/>
      <c r="BF44" s="43">
        <v>11</v>
      </c>
      <c r="BG44" s="15" t="e">
        <f t="shared" si="87"/>
        <v>#N/A</v>
      </c>
      <c r="BH44" s="56" t="e">
        <v>#N/A</v>
      </c>
      <c r="BI44" s="325" t="e">
        <f>IF(BG44="Interior",$BN$50,IFERROR(IF(VLOOKUP(Seccion2!I34,Materiales[],3,FALSE)=Aux!$AP$10,IF(LEFT(VLOOKUP(Seccion2!I34,Materiales[],5,FALSE),1)="C",HLOOKUP(RIGHT(VLOOKUP(Seccion2!I34,Materiales[],5,FALSE),4),IF($BM$49=Aux!$AK$11,Aire_horizontal[#All],IF($BM$49=Aux!$AK$12,Aire_ascendente[#All],Aire_descendente[#All])),MATCH(ROUND(VLOOKUP(Seccion2!I34,Materiales[],7,FALSE)*1000,0),IF($BM$49=Aux!$AK$11,Aire_horizontal[Espesor],IF($BM$49=Aux!$AK$12,Aire_ascendente[Espesor],Aire_descendente[Espesor])),1)+1,FALSE),IF(VLOOKUP(Seccion2!I34,Materiales[],5,FALSE)=Aux!$AQ$29,IF(MID(VLOOKUP(Seccion2!I34,Materiales[],8,FALSE),1,2)="R=",VALUE(RIGHT(VLOOKUP(Seccion2!I34,Materiales[],8,FALSE),LEN(VLOOKUP(Seccion2!I34,Materiales[],8,FALSE))-2)),NA()),VLOOKUP(VLOOKUP(Seccion2!I34,Materiales[],5,FALSE),Aux!$AQ$26:$AR$29,2,FALSE))),BH44/VLOOKUP(Seccion2!I34,Materiales[],8,FALSE)),NA()))</f>
        <v>#N/A</v>
      </c>
      <c r="BJ44" s="55" t="e">
        <v>#N/A</v>
      </c>
      <c r="BK44" s="51" t="e">
        <v>#N/A</v>
      </c>
      <c r="BL44" s="56" t="e">
        <f>IF(OR(BH44="",BH44="Interior"),NA(),SUM($BH$34:$BH44))</f>
        <v>#N/A</v>
      </c>
      <c r="BM44" s="48" t="e">
        <f>IF(BG44="",NA(),SUM($BI$33:$BI44))</f>
        <v>#N/A</v>
      </c>
      <c r="BN44" s="50" t="e">
        <v>#N/A</v>
      </c>
      <c r="BO44" s="52" t="e">
        <f>IF(BN44="",NA(),SUM($BN$33:$BN44))</f>
        <v>#N/A</v>
      </c>
      <c r="BP44" s="53" t="e">
        <v>#N/A</v>
      </c>
      <c r="BQ44" s="52" t="e">
        <v>#N/A</v>
      </c>
      <c r="BR44" s="54" t="e">
        <f t="shared" si="88"/>
        <v>#N/A</v>
      </c>
      <c r="BS44" s="50" t="e">
        <v>#N/A</v>
      </c>
      <c r="BT44" s="55" t="e">
        <v>#N/A</v>
      </c>
      <c r="BU44" s="55">
        <f t="array" ref="BU44">SUM(IF(ISNUMBER(BV$33:BV44),1,0))+IF($BF44&gt;Capas_AT2_C2,1,0)</f>
        <v>1</v>
      </c>
      <c r="BV44" s="51" t="e">
        <f t="shared" si="89"/>
        <v>#N/A</v>
      </c>
      <c r="BW44" s="51" t="e">
        <f t="shared" si="90"/>
        <v>#N/A</v>
      </c>
      <c r="BX44" s="51" t="e">
        <f t="shared" si="91"/>
        <v>#N/A</v>
      </c>
      <c r="BY44" s="48" t="str">
        <f t="shared" si="92"/>
        <v>$BW$33:$BW$34</v>
      </c>
      <c r="BZ44" s="48" t="str">
        <f t="shared" si="93"/>
        <v>$BX$33:$BX$34</v>
      </c>
      <c r="CA44" s="50" t="e">
        <f t="shared" ca="1" si="94"/>
        <v>#N/A</v>
      </c>
      <c r="CB44" s="47"/>
      <c r="CC44" s="54" t="e">
        <f t="shared" si="95"/>
        <v>#N/A</v>
      </c>
      <c r="CD44" s="50" t="e">
        <v>#N/A</v>
      </c>
      <c r="CE44" s="55" t="e">
        <v>#N/A</v>
      </c>
      <c r="CF44" s="55">
        <f t="array" ref="CF44">SUM(IF(ISNUMBER(CG$33:CG44),1,0))+IF($BF44&gt;Capas_AT2_C2,1,0)</f>
        <v>1</v>
      </c>
      <c r="CG44" s="51" t="e">
        <f t="shared" si="96"/>
        <v>#N/A</v>
      </c>
      <c r="CH44" s="51" t="e">
        <f t="shared" si="97"/>
        <v>#N/A</v>
      </c>
      <c r="CI44" s="51" t="e">
        <f t="shared" si="98"/>
        <v>#N/A</v>
      </c>
      <c r="CJ44" s="48" t="str">
        <f t="shared" si="99"/>
        <v>$CH$33:$CH$34</v>
      </c>
      <c r="CK44" s="48" t="str">
        <f t="shared" si="100"/>
        <v>$CI$33:$CI$34</v>
      </c>
      <c r="CL44" s="50" t="e">
        <f t="shared" ca="1" si="101"/>
        <v>#N/A</v>
      </c>
      <c r="CM44" s="47"/>
      <c r="CN44" s="54" t="e">
        <f t="shared" si="102"/>
        <v>#N/A</v>
      </c>
      <c r="CO44" s="50" t="e">
        <v>#N/A</v>
      </c>
      <c r="CP44" s="55" t="e">
        <v>#N/A</v>
      </c>
      <c r="CQ44" s="55">
        <f t="array" ref="CQ44">SUM(IF(ISNUMBER(CR$33:CR44),1,0))+IF($BF44&gt;Capas_AT2_C2,1,0)</f>
        <v>1</v>
      </c>
      <c r="CR44" s="51" t="e">
        <f t="shared" si="103"/>
        <v>#N/A</v>
      </c>
      <c r="CS44" s="51" t="e">
        <f t="shared" si="104"/>
        <v>#N/A</v>
      </c>
      <c r="CT44" s="51" t="e">
        <f t="shared" si="105"/>
        <v>#N/A</v>
      </c>
      <c r="CU44" s="48" t="str">
        <f t="shared" si="106"/>
        <v>$CS$33:$CS$34</v>
      </c>
      <c r="CV44" s="48" t="str">
        <f t="shared" si="107"/>
        <v>$CT$33:$CT$34</v>
      </c>
      <c r="CW44" s="50" t="e">
        <f t="shared" ca="1" si="108"/>
        <v>#N/A</v>
      </c>
      <c r="CX44" s="47"/>
      <c r="CY44" s="54" t="e">
        <f t="shared" si="109"/>
        <v>#N/A</v>
      </c>
      <c r="CZ44" s="50" t="e">
        <v>#N/A</v>
      </c>
      <c r="DA44" s="55" t="e">
        <v>#N/A</v>
      </c>
      <c r="DB44" s="55">
        <f t="array" ref="DB44">SUM(IF(ISNUMBER(DC$33:DC44),1,0))+IF($BF44&gt;Capas_AT2_C2,1,0)</f>
        <v>1</v>
      </c>
      <c r="DC44" s="51" t="e">
        <f t="shared" si="110"/>
        <v>#N/A</v>
      </c>
      <c r="DD44" s="51" t="e">
        <f t="shared" si="111"/>
        <v>#N/A</v>
      </c>
      <c r="DE44" s="51" t="e">
        <f t="shared" si="112"/>
        <v>#N/A</v>
      </c>
      <c r="DF44" s="48" t="str">
        <f t="shared" si="113"/>
        <v>$DD$33:$DD$34</v>
      </c>
      <c r="DG44" s="48" t="str">
        <f t="shared" si="114"/>
        <v>$DE$33:$DE$34</v>
      </c>
      <c r="DH44" s="50" t="e">
        <f t="shared" ca="1" si="115"/>
        <v>#N/A</v>
      </c>
      <c r="DI44" s="47"/>
    </row>
    <row r="45" spans="1:113" x14ac:dyDescent="0.25">
      <c r="A45" s="43">
        <v>12</v>
      </c>
      <c r="B45" s="15" t="e">
        <f t="shared" si="67"/>
        <v>#N/A</v>
      </c>
      <c r="C45" s="56" t="e">
        <v>#N/A</v>
      </c>
      <c r="D45" s="325" t="e">
        <f>IF(B45="Interior",Rsi_H2,IFERROR(IF(VLOOKUP(Seccion2!$B35,Materiales[],3,FALSE)=Aux!$AP$10,IF(LEFT(VLOOKUP(Seccion2!$B35,Materiales[],5,FALSE),1)="C",HLOOKUP(RIGHT(VLOOKUP(Seccion2!$B35,Materiales[],5,FALSE),4),IF($H$49=Aux!$AK$11,Aire_horizontal[#All],IF($H$49=Aux!$AK$12,Aire_ascendente[#All],Aire_descendente[#All])),MATCH(ROUND(VLOOKUP(Seccion2!$B35,Materiales[],7,FALSE)*1000,0),IF($H$49=Aux!$AK$11,Aire_horizontal[Espesor],IF($H$49=Aux!$AK$12,Aire_ascendente[Espesor],Aire_descendente[Espesor])),1)+1,FALSE),IF(VLOOKUP(Seccion2!$B35,Materiales[],5,FALSE)=Aux!$AQ$29,IF(MID(VLOOKUP(Seccion2!$B35,Materiales[],8,FALSE),1,2)="R=",VALUE(RIGHT(VLOOKUP(Seccion2!$B35,Materiales[],8,FALSE),LEN(VLOOKUP(Seccion2!$B35,Materiales[],8,FALSE))-2)),NA()),VLOOKUP(VLOOKUP(Seccion2!$B35,Materiales[],5,FALSE),Aux!$AQ$26:$AR$29,2,FALSE))),C45/VLOOKUP(Seccion2!$B35,Materiales[],8,FALSE)),NA()))</f>
        <v>#N/A</v>
      </c>
      <c r="E45" s="55" t="e">
        <v>#N/A</v>
      </c>
      <c r="F45" s="51" t="e">
        <v>#N/A</v>
      </c>
      <c r="G45" s="56" t="e">
        <f>IF(OR(B45="",B45="Interior"),NA(),SUM($C$34:$C45))</f>
        <v>#N/A</v>
      </c>
      <c r="H45" s="48" t="e">
        <f>IF(B45="",NA(),SUM($D$33:$D45))</f>
        <v>#N/A</v>
      </c>
      <c r="I45" s="50" t="e">
        <v>#N/A</v>
      </c>
      <c r="J45" s="52" t="e">
        <f>IF(I45="",NA(),SUM($I$33:$I45))</f>
        <v>#N/A</v>
      </c>
      <c r="K45" s="53" t="e">
        <v>#N/A</v>
      </c>
      <c r="L45" s="47" t="e">
        <v>#N/A</v>
      </c>
      <c r="M45" s="54" t="e">
        <f t="shared" si="68"/>
        <v>#N/A</v>
      </c>
      <c r="N45" s="51" t="e">
        <v>#N/A</v>
      </c>
      <c r="O45" s="55" t="e">
        <v>#N/A</v>
      </c>
      <c r="P45" s="51" t="e">
        <f t="shared" ca="1" si="58"/>
        <v>#N/A</v>
      </c>
      <c r="Q45" s="47"/>
      <c r="R45" s="55">
        <f t="array" ref="R45">SUM(IF(ISNUMBER(S$33:S45),1,0))+IF($A45&gt;Capas_AT2_C1,1,0)</f>
        <v>1</v>
      </c>
      <c r="S45" s="51" t="e">
        <f t="shared" si="69"/>
        <v>#N/A</v>
      </c>
      <c r="T45" s="51" t="e">
        <f t="shared" si="59"/>
        <v>#N/A</v>
      </c>
      <c r="U45" s="51" t="e">
        <f t="shared" si="60"/>
        <v>#N/A</v>
      </c>
      <c r="V45" s="48" t="str">
        <f t="shared" si="61"/>
        <v>$T$33:$T$34</v>
      </c>
      <c r="W45" s="48" t="str">
        <f t="shared" si="62"/>
        <v>$U$33:$U$34</v>
      </c>
      <c r="X45" s="54" t="e">
        <f t="shared" si="70"/>
        <v>#N/A</v>
      </c>
      <c r="Y45" s="50" t="e">
        <v>#N/A</v>
      </c>
      <c r="Z45" s="55" t="e">
        <v>#N/A</v>
      </c>
      <c r="AA45" s="55">
        <f t="array" ref="AA45">SUM(IF(ISNUMBER(AB$33:AB45),1,0))+IF($A45&gt;Capas_AT2_C1,1,0)</f>
        <v>1</v>
      </c>
      <c r="AB45" s="51" t="e">
        <f t="shared" si="71"/>
        <v>#N/A</v>
      </c>
      <c r="AC45" s="51" t="e">
        <f t="shared" si="72"/>
        <v>#N/A</v>
      </c>
      <c r="AD45" s="51" t="e">
        <f t="shared" si="73"/>
        <v>#N/A</v>
      </c>
      <c r="AE45" s="48" t="str">
        <f t="shared" si="74"/>
        <v>$AC$33:$AC$34</v>
      </c>
      <c r="AF45" s="48" t="str">
        <f t="shared" si="75"/>
        <v>$AD$33:$AD$34</v>
      </c>
      <c r="AG45" s="50" t="e">
        <f t="shared" ca="1" si="63"/>
        <v>#N/A</v>
      </c>
      <c r="AH45" s="47"/>
      <c r="AI45" s="54" t="e">
        <f t="shared" si="76"/>
        <v>#N/A</v>
      </c>
      <c r="AJ45" s="50" t="e">
        <v>#N/A</v>
      </c>
      <c r="AK45" s="55" t="e">
        <v>#N/A</v>
      </c>
      <c r="AL45" s="55">
        <f t="array" ref="AL45">SUM(IF(ISNUMBER(AM$33:AM45),1,0))+IF($A45&gt;Capas_AT2_C1,1,0)</f>
        <v>1</v>
      </c>
      <c r="AM45" s="51" t="e">
        <f t="shared" si="77"/>
        <v>#N/A</v>
      </c>
      <c r="AN45" s="51" t="e">
        <f t="shared" si="78"/>
        <v>#N/A</v>
      </c>
      <c r="AO45" s="51" t="e">
        <f t="shared" si="79"/>
        <v>#N/A</v>
      </c>
      <c r="AP45" s="48" t="str">
        <f t="shared" si="80"/>
        <v>$AN$33:$AN$34</v>
      </c>
      <c r="AQ45" s="48" t="str">
        <f t="shared" si="81"/>
        <v>$AO$33:$AO$34</v>
      </c>
      <c r="AR45" s="50" t="e">
        <f t="shared" ca="1" si="64"/>
        <v>#N/A</v>
      </c>
      <c r="AS45" s="47"/>
      <c r="AT45" s="54" t="e">
        <f t="shared" si="82"/>
        <v>#N/A</v>
      </c>
      <c r="AU45" s="50" t="e">
        <v>#N/A</v>
      </c>
      <c r="AV45" s="55" t="e">
        <v>#N/A</v>
      </c>
      <c r="AW45" s="55">
        <f t="array" ref="AW45">SUM(IF(ISNUMBER(AX$33:AX45),1,0))+IF($A45&gt;Capas_AT2_C1,1,0)</f>
        <v>1</v>
      </c>
      <c r="AX45" s="50" t="e">
        <f t="shared" si="83"/>
        <v>#N/A</v>
      </c>
      <c r="AY45" s="51" t="e">
        <f t="shared" si="84"/>
        <v>#N/A</v>
      </c>
      <c r="AZ45" s="51" t="e">
        <f t="shared" si="65"/>
        <v>#N/A</v>
      </c>
      <c r="BA45" s="48" t="str">
        <f t="shared" si="85"/>
        <v>$AY$33:$AY$34</v>
      </c>
      <c r="BB45" s="48" t="str">
        <f t="shared" si="86"/>
        <v>$AZ$33:$AZ$34</v>
      </c>
      <c r="BC45" s="50" t="e">
        <f t="shared" ca="1" si="66"/>
        <v>#N/A</v>
      </c>
      <c r="BD45" s="47"/>
      <c r="BF45" s="43">
        <v>12</v>
      </c>
      <c r="BG45" s="15" t="e">
        <f t="shared" si="87"/>
        <v>#N/A</v>
      </c>
      <c r="BH45" s="56" t="e">
        <v>#N/A</v>
      </c>
      <c r="BI45" s="325" t="e">
        <f>IF(BG45="Interior",$BN$50,IFERROR(IF(VLOOKUP(Seccion2!I35,Materiales[],3,FALSE)=Aux!$AP$10,IF(LEFT(VLOOKUP(Seccion2!I35,Materiales[],5,FALSE),1)="C",HLOOKUP(RIGHT(VLOOKUP(Seccion2!I35,Materiales[],5,FALSE),4),IF($BM$49=Aux!$AK$11,Aire_horizontal[#All],IF($BM$49=Aux!$AK$12,Aire_ascendente[#All],Aire_descendente[#All])),MATCH(ROUND(VLOOKUP(Seccion2!I35,Materiales[],7,FALSE)*1000,0),IF($BM$49=Aux!$AK$11,Aire_horizontal[Espesor],IF($BM$49=Aux!$AK$12,Aire_ascendente[Espesor],Aire_descendente[Espesor])),1)+1,FALSE),IF(VLOOKUP(Seccion2!I35,Materiales[],5,FALSE)=Aux!$AQ$29,IF(MID(VLOOKUP(Seccion2!I35,Materiales[],8,FALSE),1,2)="R=",VALUE(RIGHT(VLOOKUP(Seccion2!I35,Materiales[],8,FALSE),LEN(VLOOKUP(Seccion2!I35,Materiales[],8,FALSE))-2)),NA()),VLOOKUP(VLOOKUP(Seccion2!I35,Materiales[],5,FALSE),Aux!$AQ$26:$AR$29,2,FALSE))),BH45/VLOOKUP(Seccion2!I35,Materiales[],8,FALSE)),NA()))</f>
        <v>#N/A</v>
      </c>
      <c r="BJ45" s="55" t="e">
        <v>#N/A</v>
      </c>
      <c r="BK45" s="51" t="e">
        <v>#N/A</v>
      </c>
      <c r="BL45" s="56" t="e">
        <f>IF(OR(BH45="",BH45="Interior"),NA(),SUM($BH$34:$BH45))</f>
        <v>#N/A</v>
      </c>
      <c r="BM45" s="48" t="e">
        <f>IF(BG45="",NA(),SUM($BI$33:$BI45))</f>
        <v>#N/A</v>
      </c>
      <c r="BN45" s="50" t="e">
        <v>#N/A</v>
      </c>
      <c r="BO45" s="52" t="e">
        <f>IF(BN45="",NA(),SUM($BN$33:$BN45))</f>
        <v>#N/A</v>
      </c>
      <c r="BP45" s="53" t="e">
        <v>#N/A</v>
      </c>
      <c r="BQ45" s="52" t="e">
        <v>#N/A</v>
      </c>
      <c r="BR45" s="54" t="e">
        <f t="shared" si="88"/>
        <v>#N/A</v>
      </c>
      <c r="BS45" s="50" t="e">
        <v>#N/A</v>
      </c>
      <c r="BT45" s="55" t="e">
        <v>#N/A</v>
      </c>
      <c r="BU45" s="55">
        <f t="array" ref="BU45">SUM(IF(ISNUMBER(BV$33:BV45),1,0))+IF($BF45&gt;Capas_AT2_C2,1,0)</f>
        <v>1</v>
      </c>
      <c r="BV45" s="51" t="e">
        <f t="shared" si="89"/>
        <v>#N/A</v>
      </c>
      <c r="BW45" s="51" t="e">
        <f t="shared" si="90"/>
        <v>#N/A</v>
      </c>
      <c r="BX45" s="51" t="e">
        <f t="shared" si="91"/>
        <v>#N/A</v>
      </c>
      <c r="BY45" s="48" t="str">
        <f t="shared" si="92"/>
        <v>$BW$33:$BW$34</v>
      </c>
      <c r="BZ45" s="48" t="str">
        <f t="shared" si="93"/>
        <v>$BX$33:$BX$34</v>
      </c>
      <c r="CA45" s="50" t="e">
        <f t="shared" ca="1" si="94"/>
        <v>#N/A</v>
      </c>
      <c r="CB45" s="47"/>
      <c r="CC45" s="54" t="e">
        <f t="shared" si="95"/>
        <v>#N/A</v>
      </c>
      <c r="CD45" s="50" t="e">
        <v>#N/A</v>
      </c>
      <c r="CE45" s="55" t="e">
        <v>#N/A</v>
      </c>
      <c r="CF45" s="55">
        <f t="array" ref="CF45">SUM(IF(ISNUMBER(CG$33:CG45),1,0))+IF($BF45&gt;Capas_AT2_C2,1,0)</f>
        <v>1</v>
      </c>
      <c r="CG45" s="51" t="e">
        <f t="shared" si="96"/>
        <v>#N/A</v>
      </c>
      <c r="CH45" s="51" t="e">
        <f t="shared" si="97"/>
        <v>#N/A</v>
      </c>
      <c r="CI45" s="51" t="e">
        <f t="shared" si="98"/>
        <v>#N/A</v>
      </c>
      <c r="CJ45" s="48" t="str">
        <f t="shared" si="99"/>
        <v>$CH$33:$CH$34</v>
      </c>
      <c r="CK45" s="48" t="str">
        <f t="shared" si="100"/>
        <v>$CI$33:$CI$34</v>
      </c>
      <c r="CL45" s="50" t="e">
        <f t="shared" ca="1" si="101"/>
        <v>#N/A</v>
      </c>
      <c r="CM45" s="47"/>
      <c r="CN45" s="54" t="e">
        <f t="shared" si="102"/>
        <v>#N/A</v>
      </c>
      <c r="CO45" s="50" t="e">
        <v>#N/A</v>
      </c>
      <c r="CP45" s="55" t="e">
        <v>#N/A</v>
      </c>
      <c r="CQ45" s="55">
        <f t="array" ref="CQ45">SUM(IF(ISNUMBER(CR$33:CR45),1,0))+IF($BF45&gt;Capas_AT2_C2,1,0)</f>
        <v>1</v>
      </c>
      <c r="CR45" s="51" t="e">
        <f t="shared" si="103"/>
        <v>#N/A</v>
      </c>
      <c r="CS45" s="51" t="e">
        <f t="shared" si="104"/>
        <v>#N/A</v>
      </c>
      <c r="CT45" s="51" t="e">
        <f t="shared" si="105"/>
        <v>#N/A</v>
      </c>
      <c r="CU45" s="48" t="str">
        <f t="shared" si="106"/>
        <v>$CS$33:$CS$34</v>
      </c>
      <c r="CV45" s="48" t="str">
        <f t="shared" si="107"/>
        <v>$CT$33:$CT$34</v>
      </c>
      <c r="CW45" s="50" t="e">
        <f t="shared" ca="1" si="108"/>
        <v>#N/A</v>
      </c>
      <c r="CX45" s="47"/>
      <c r="CY45" s="54" t="e">
        <f t="shared" si="109"/>
        <v>#N/A</v>
      </c>
      <c r="CZ45" s="50" t="e">
        <v>#N/A</v>
      </c>
      <c r="DA45" s="55" t="e">
        <v>#N/A</v>
      </c>
      <c r="DB45" s="55">
        <f t="array" ref="DB45">SUM(IF(ISNUMBER(DC$33:DC45),1,0))+IF($BF45&gt;Capas_AT2_C2,1,0)</f>
        <v>1</v>
      </c>
      <c r="DC45" s="51" t="e">
        <f t="shared" si="110"/>
        <v>#N/A</v>
      </c>
      <c r="DD45" s="51" t="e">
        <f t="shared" si="111"/>
        <v>#N/A</v>
      </c>
      <c r="DE45" s="51" t="e">
        <f t="shared" si="112"/>
        <v>#N/A</v>
      </c>
      <c r="DF45" s="48" t="str">
        <f t="shared" si="113"/>
        <v>$DD$33:$DD$34</v>
      </c>
      <c r="DG45" s="48" t="str">
        <f t="shared" si="114"/>
        <v>$DE$33:$DE$34</v>
      </c>
      <c r="DH45" s="50" t="e">
        <f t="shared" ca="1" si="115"/>
        <v>#N/A</v>
      </c>
      <c r="DI45" s="47"/>
    </row>
    <row r="46" spans="1:113" ht="15.75" thickBot="1" x14ac:dyDescent="0.3">
      <c r="A46" s="57"/>
      <c r="B46" s="58" t="e">
        <f>IF(Capas_AT2_C1=12,"Interior",NA())</f>
        <v>#N/A</v>
      </c>
      <c r="C46" s="59"/>
      <c r="D46" s="59" t="e">
        <f>IF(B46="Interior",Rsi_H2,NA())</f>
        <v>#N/A</v>
      </c>
      <c r="E46" s="59"/>
      <c r="F46" s="59"/>
      <c r="G46" s="60"/>
      <c r="H46" s="59"/>
      <c r="I46" s="58"/>
      <c r="J46" s="61"/>
      <c r="K46" s="62"/>
      <c r="L46" s="63"/>
      <c r="M46" s="62"/>
      <c r="N46" s="65"/>
      <c r="O46" s="64"/>
      <c r="P46" s="58"/>
      <c r="Q46" s="61"/>
      <c r="X46" s="62"/>
      <c r="Y46" s="65"/>
      <c r="Z46" s="64"/>
      <c r="AA46" s="58"/>
      <c r="AB46" s="58"/>
      <c r="AC46" s="58"/>
      <c r="AD46" s="58"/>
      <c r="AE46" s="58"/>
      <c r="AF46" s="58"/>
      <c r="AG46" s="58"/>
      <c r="AH46" s="61"/>
      <c r="AI46" s="62"/>
      <c r="AJ46" s="58"/>
      <c r="AK46" s="65"/>
      <c r="AL46" s="64"/>
      <c r="AM46" s="58"/>
      <c r="AN46" s="58"/>
      <c r="AO46" s="58"/>
      <c r="AP46" s="58"/>
      <c r="AQ46" s="58"/>
      <c r="AR46" s="58"/>
      <c r="AS46" s="61"/>
      <c r="AT46" s="62"/>
      <c r="AU46" s="58"/>
      <c r="AV46" s="58"/>
      <c r="AW46" s="58"/>
      <c r="AX46" s="58"/>
      <c r="AY46" s="58"/>
      <c r="AZ46" s="58"/>
      <c r="BA46" s="58"/>
      <c r="BB46" s="58"/>
      <c r="BC46" s="58"/>
      <c r="BD46" s="61"/>
      <c r="BF46" s="57"/>
      <c r="BG46" s="58" t="e">
        <f>IF(Capas_AT2_C2=12,"Interior",NA())</f>
        <v>#N/A</v>
      </c>
      <c r="BH46" s="59"/>
      <c r="BI46" s="59" t="e">
        <f>IF(BG46="Interior",BN50,NA())</f>
        <v>#N/A</v>
      </c>
      <c r="BJ46" s="59"/>
      <c r="BK46" s="59"/>
      <c r="BL46" s="58"/>
      <c r="BM46" s="59"/>
      <c r="BN46" s="59"/>
      <c r="BO46" s="66"/>
      <c r="BP46" s="62"/>
      <c r="BQ46" s="63"/>
      <c r="BR46" s="62"/>
      <c r="BS46" s="65"/>
      <c r="BT46" s="64"/>
      <c r="BU46" s="58"/>
      <c r="BV46" s="58"/>
      <c r="BW46" s="58"/>
      <c r="BX46" s="58"/>
      <c r="BY46" s="58"/>
      <c r="BZ46" s="58"/>
      <c r="CA46" s="58"/>
      <c r="CB46" s="61"/>
      <c r="CC46" s="62"/>
      <c r="CD46" s="65"/>
      <c r="CE46" s="64"/>
      <c r="CF46" s="58"/>
      <c r="CG46" s="58"/>
      <c r="CH46" s="58"/>
      <c r="CI46" s="58"/>
      <c r="CJ46" s="58"/>
      <c r="CK46" s="58"/>
      <c r="CL46" s="58"/>
      <c r="CM46" s="61"/>
      <c r="CN46" s="62"/>
      <c r="CO46" s="58"/>
      <c r="CP46" s="58"/>
      <c r="CQ46" s="65"/>
      <c r="CR46" s="58"/>
      <c r="CS46" s="58"/>
      <c r="CT46" s="58"/>
      <c r="CU46" s="58"/>
      <c r="CV46" s="58"/>
      <c r="CW46" s="58"/>
      <c r="CX46" s="61"/>
      <c r="CY46" s="62"/>
      <c r="CZ46" s="65"/>
      <c r="DA46" s="64"/>
      <c r="DB46" s="58"/>
      <c r="DC46" s="58"/>
      <c r="DD46" s="58"/>
      <c r="DE46" s="58"/>
      <c r="DF46" s="58"/>
      <c r="DG46" s="58"/>
      <c r="DH46" s="58"/>
      <c r="DI46" s="61"/>
    </row>
    <row r="47" spans="1:113" ht="18" x14ac:dyDescent="0.35">
      <c r="A47" s="37"/>
      <c r="B47" s="40" t="s">
        <v>158</v>
      </c>
      <c r="C47" s="40" t="s">
        <v>180</v>
      </c>
      <c r="D47" s="40" t="s">
        <v>123</v>
      </c>
      <c r="E47" s="67"/>
      <c r="F47" s="40" t="s">
        <v>811</v>
      </c>
      <c r="G47" s="67"/>
      <c r="H47" s="67"/>
      <c r="I47" s="40" t="s">
        <v>124</v>
      </c>
      <c r="J47" s="38"/>
      <c r="K47" s="68" t="s">
        <v>144</v>
      </c>
      <c r="L47" s="69" t="e">
        <f>VLOOKUP(Seccion2!provincia_C1,datos_humedad_julio[],2,FALSE)</f>
        <v>#N/A</v>
      </c>
      <c r="M47" s="111"/>
      <c r="N47" s="77" t="s">
        <v>160</v>
      </c>
      <c r="O47" s="70" t="str">
        <f>IF(Capas_AT2_C1&gt;0,IF(SUMIF(O33:O45,"&gt;0",O33:O45)&gt;0,TRUE,FALSE),"")</f>
        <v/>
      </c>
      <c r="P47" s="38"/>
      <c r="Q47" s="38"/>
      <c r="R47" s="38"/>
      <c r="S47" s="38"/>
      <c r="T47" s="71"/>
      <c r="U47" s="71"/>
      <c r="V47" s="38"/>
      <c r="W47" s="72"/>
      <c r="X47" s="111"/>
      <c r="Y47" s="77" t="s">
        <v>160</v>
      </c>
      <c r="Z47" s="70" t="str">
        <f>IF(Capas_AT2_C1&gt;0,IF(SUMIF(Z33:Z45,"&gt;0",Z33:Z45)&gt;0,TRUE,FALSE),"")</f>
        <v/>
      </c>
      <c r="AA47" s="38"/>
      <c r="AB47" s="38"/>
      <c r="AC47" s="38"/>
      <c r="AD47" s="38"/>
      <c r="AE47" s="38"/>
      <c r="AF47" s="38"/>
      <c r="AG47" s="38"/>
      <c r="AH47" s="72"/>
      <c r="AI47" s="111"/>
      <c r="AJ47" s="77" t="s">
        <v>160</v>
      </c>
      <c r="AK47" s="70" t="str">
        <f>IF(Capas_AT2_C1&gt;0,IF(SUMIF(AK33:AK45,"&gt;0",AK33:AK45)&gt;0,TRUE,FALSE),"")</f>
        <v/>
      </c>
      <c r="AL47" s="38"/>
      <c r="AM47" s="38"/>
      <c r="AN47" s="38"/>
      <c r="AO47" s="38"/>
      <c r="AP47" s="38"/>
      <c r="AQ47" s="38"/>
      <c r="AR47" s="38"/>
      <c r="AS47" s="72"/>
      <c r="AT47" s="111"/>
      <c r="AU47" s="77" t="s">
        <v>160</v>
      </c>
      <c r="AV47" s="70" t="str">
        <f>IF(Capas_AT2_C1&gt;0,IF(SUMIF(AV33:AV45,"&gt;0",AV33:AV45)&gt;0,TRUE,FALSE),"")</f>
        <v/>
      </c>
      <c r="AW47" s="38"/>
      <c r="AX47" s="38"/>
      <c r="AY47" s="38"/>
      <c r="AZ47" s="38"/>
      <c r="BA47" s="38"/>
      <c r="BB47" s="38"/>
      <c r="BC47" s="38"/>
      <c r="BD47" s="72"/>
      <c r="BF47" s="37"/>
      <c r="BG47" s="40" t="s">
        <v>158</v>
      </c>
      <c r="BH47" s="40" t="s">
        <v>180</v>
      </c>
      <c r="BI47" s="40" t="s">
        <v>123</v>
      </c>
      <c r="BJ47" s="67"/>
      <c r="BK47" s="40" t="s">
        <v>811</v>
      </c>
      <c r="BL47" s="67"/>
      <c r="BM47" s="67"/>
      <c r="BN47" s="40" t="s">
        <v>124</v>
      </c>
      <c r="BO47" s="88"/>
      <c r="BP47" s="68" t="s">
        <v>144</v>
      </c>
      <c r="BQ47" s="73" t="e">
        <f>IF(Seccion2!Casilla1,φe_H2_C1,VLOOKUP(Seccion2!provincia_C2,datos_humedad_julio[],2,FALSE))</f>
        <v>#N/A</v>
      </c>
      <c r="BR47" s="111"/>
      <c r="BS47" s="77" t="s">
        <v>160</v>
      </c>
      <c r="BT47" s="70" t="str">
        <f>IF(Capas_AT2_C2&gt;0,IF(SUMIF(BT33:BT45,"&gt;0",BT33:BT45)&gt;0,TRUE,FALSE),"")</f>
        <v/>
      </c>
      <c r="BU47" s="38"/>
      <c r="BV47" s="38"/>
      <c r="BW47" s="38"/>
      <c r="BX47" s="38"/>
      <c r="BY47" s="38"/>
      <c r="BZ47" s="38"/>
      <c r="CA47" s="38"/>
      <c r="CB47" s="72"/>
      <c r="CC47" s="111"/>
      <c r="CD47" s="77" t="s">
        <v>160</v>
      </c>
      <c r="CE47" s="70" t="str">
        <f>IF(Capas_AT2_C2&gt;0,IF(SUMIF(CE33:CE45,"&gt;0",CE33:CE45)&gt;0,TRUE,FALSE),"")</f>
        <v/>
      </c>
      <c r="CF47" s="38"/>
      <c r="CG47" s="38"/>
      <c r="CH47" s="38"/>
      <c r="CI47" s="38"/>
      <c r="CJ47" s="38"/>
      <c r="CK47" s="38"/>
      <c r="CL47" s="38"/>
      <c r="CM47" s="72"/>
      <c r="CN47" s="111"/>
      <c r="CO47" s="77" t="s">
        <v>160</v>
      </c>
      <c r="CP47" s="70" t="str">
        <f>IF(Capas_AT2_C2&gt;0,IF(SUMIF(CP33:CP45,"&gt;0",CP33:CP45)&gt;0,TRUE,FALSE),"")</f>
        <v/>
      </c>
      <c r="CQ47" s="38"/>
      <c r="CR47" s="38"/>
      <c r="CS47" s="38"/>
      <c r="CT47" s="38"/>
      <c r="CU47" s="38"/>
      <c r="CV47" s="38"/>
      <c r="CW47" s="38"/>
      <c r="CX47" s="72"/>
      <c r="CY47" s="111"/>
      <c r="CZ47" s="77" t="s">
        <v>160</v>
      </c>
      <c r="DA47" s="70" t="str">
        <f>IF(Capas_AT2_C2&gt;0,IF(SUMIF(DA33:DA45,"&gt;0",DA33:DA45)&gt;0,TRUE,FALSE),"")</f>
        <v/>
      </c>
      <c r="DB47" s="38"/>
      <c r="DC47" s="38"/>
      <c r="DD47" s="38"/>
      <c r="DE47" s="38"/>
      <c r="DF47" s="38"/>
      <c r="DG47" s="38"/>
      <c r="DH47" s="38"/>
      <c r="DI47" s="72"/>
    </row>
    <row r="48" spans="1:113" ht="15.75" thickBot="1" x14ac:dyDescent="0.3">
      <c r="A48" s="57"/>
      <c r="B48" s="59">
        <f>COUNTA(Seccion2!lista_Materiales_C1)</f>
        <v>0</v>
      </c>
      <c r="C48" s="326">
        <f t="array" ref="C48">SUM(IFERROR(d_AT2_C1,0))</f>
        <v>0</v>
      </c>
      <c r="D48" s="326">
        <f t="array" ref="D48">IF(Capas_AT2_C1&gt;0,SUM(IFERROR($D$33:$D$46,0)),0)</f>
        <v>0</v>
      </c>
      <c r="E48" s="59"/>
      <c r="F48" s="59" t="e">
        <f>Seccion2!$S$18</f>
        <v>#N/A</v>
      </c>
      <c r="G48" s="59"/>
      <c r="H48" s="59"/>
      <c r="I48" s="74">
        <f t="array" ref="I48">SUM(IFERROR(S_d_H2_C1,0))</f>
        <v>0</v>
      </c>
      <c r="J48" s="58"/>
      <c r="K48" s="75" t="s">
        <v>145</v>
      </c>
      <c r="L48" s="76" t="e">
        <f>VLOOKUP(Seccion2!provincia_C1,datos_temperatura_julio[],2,FALSE)</f>
        <v>#N/A</v>
      </c>
      <c r="M48" s="112"/>
      <c r="N48" s="80" t="s">
        <v>162</v>
      </c>
      <c r="O48" s="17">
        <f>SUMIF(O33:O45,"&gt;0",O33:O45)</f>
        <v>0</v>
      </c>
      <c r="T48" s="48"/>
      <c r="U48" s="48"/>
      <c r="W48" s="49"/>
      <c r="X48" s="112"/>
      <c r="Y48" s="80" t="s">
        <v>162</v>
      </c>
      <c r="Z48" s="48">
        <f>SUMIF(Z33:Z45,"&gt;0",Z33:Z45)</f>
        <v>0</v>
      </c>
      <c r="AH48" s="49"/>
      <c r="AI48" s="112"/>
      <c r="AJ48" s="80" t="s">
        <v>162</v>
      </c>
      <c r="AK48" s="48">
        <f>SUMIF(AK33:AK45,"&gt;0",AK33:AK45)</f>
        <v>0</v>
      </c>
      <c r="AS48" s="49"/>
      <c r="AT48" s="112"/>
      <c r="AU48" s="80" t="s">
        <v>162</v>
      </c>
      <c r="AV48" s="48">
        <f>SUMIF(AV33:AV45,"&gt;0",AV33:AV45)</f>
        <v>0</v>
      </c>
      <c r="BD48" s="49"/>
      <c r="BF48" s="57"/>
      <c r="BG48" s="59">
        <f>COUNTA(Seccion2!lista_Materiales_C2)</f>
        <v>0</v>
      </c>
      <c r="BH48" s="326">
        <f t="array" ref="BH48">SUM(IFERROR(d_AT2_C2,0))</f>
        <v>0</v>
      </c>
      <c r="BI48" s="326">
        <f t="array" ref="BI48">IF(Capas_AT2_C2&gt;0,SUM(IFERROR($BI$33:$BI$46,0)),0)</f>
        <v>0</v>
      </c>
      <c r="BJ48" s="59"/>
      <c r="BK48" s="59" t="e">
        <f>Seccion2!$V$18</f>
        <v>#N/A</v>
      </c>
      <c r="BL48" s="59"/>
      <c r="BM48" s="59"/>
      <c r="BN48" s="74">
        <f t="array" ref="BN48">SUM(IFERROR(S_d_H2_C2,0))</f>
        <v>0</v>
      </c>
      <c r="BO48" s="66"/>
      <c r="BP48" s="75" t="s">
        <v>145</v>
      </c>
      <c r="BQ48" s="76" t="e">
        <f>IF(Seccion2!Casilla1,ϴe_H2_C1,VLOOKUP(Seccion2!provincia_C2,datos_temperatura_julio[],2,FALSE))</f>
        <v>#N/A</v>
      </c>
      <c r="BR48" s="112"/>
      <c r="BS48" s="80" t="s">
        <v>162</v>
      </c>
      <c r="BT48" s="17">
        <f>SUMIF(BT33:BT45,"&gt;0",BT33:BT45)</f>
        <v>0</v>
      </c>
      <c r="CB48" s="49"/>
      <c r="CC48" s="112"/>
      <c r="CD48" s="80" t="s">
        <v>162</v>
      </c>
      <c r="CE48" s="17">
        <f>SUMIF(CE33:CE45,"&gt;0",CE33:CE45)</f>
        <v>0</v>
      </c>
      <c r="CM48" s="49"/>
      <c r="CN48" s="112"/>
      <c r="CO48" s="80" t="s">
        <v>162</v>
      </c>
      <c r="CP48" s="17">
        <f>SUMIF(CP33:CP45,"&gt;0",CP33:CP45)</f>
        <v>0</v>
      </c>
      <c r="CX48" s="49"/>
      <c r="CY48" s="112"/>
      <c r="CZ48" s="80" t="s">
        <v>162</v>
      </c>
      <c r="DA48" s="17">
        <f>SUMIF(DA33:DA45,"&gt;0",DA33:DA45)</f>
        <v>0</v>
      </c>
      <c r="DI48" s="49"/>
    </row>
    <row r="49" spans="1:113" ht="18" x14ac:dyDescent="0.35">
      <c r="H49" s="77">
        <f>Seccion2!direccion_flujo_C1</f>
        <v>0</v>
      </c>
      <c r="I49" s="38"/>
      <c r="K49" s="75" t="s">
        <v>108</v>
      </c>
      <c r="L49" s="78" t="e">
        <f>IF(ISNUMBER(ϴe_H2_C1),IF(ϴe_H2_C1&gt;=0,610.5*EXP((17.269*ϴe_H2_C1)/(237.3+ϴe_H2_C1)),610.5*EXP((21.875*ϴe_H2_C1)/(265.5+ϴe_H2_C1))),NA())</f>
        <v>#N/A</v>
      </c>
      <c r="M49" s="113"/>
      <c r="N49" s="80" t="s">
        <v>125</v>
      </c>
      <c r="O49" s="79" t="e">
        <f>IFERROR(Pi_HR_1_H2_C1/$L$53,NA())</f>
        <v>#N/A</v>
      </c>
      <c r="W49" s="49"/>
      <c r="X49" s="113"/>
      <c r="Y49" s="80" t="s">
        <v>125</v>
      </c>
      <c r="Z49" s="79" t="e">
        <f>IFERROR(Pi_HR_2_H2_C1/$L$53,NA())</f>
        <v>#N/A</v>
      </c>
      <c r="AH49" s="49"/>
      <c r="AI49" s="113"/>
      <c r="AJ49" s="80" t="s">
        <v>125</v>
      </c>
      <c r="AK49" s="79" t="e">
        <f>IFERROR(Pi_HR_3_H2_C1/$L$53,NA())</f>
        <v>#N/A</v>
      </c>
      <c r="AS49" s="49"/>
      <c r="AT49" s="113"/>
      <c r="AU49" s="80" t="s">
        <v>125</v>
      </c>
      <c r="AV49" s="79" t="e">
        <f>IFERROR(Pi_HR_4_H2_C1/$L$53,NA())</f>
        <v>#N/A</v>
      </c>
      <c r="BD49" s="49"/>
      <c r="BM49" s="15">
        <f>Seccion2!direccion_flujo_C2</f>
        <v>0</v>
      </c>
      <c r="BP49" s="75" t="s">
        <v>156</v>
      </c>
      <c r="BQ49" s="73" t="e">
        <f>P_sat_e_AT2_C2*φe_H2_C2</f>
        <v>#N/A</v>
      </c>
      <c r="BR49" s="113"/>
      <c r="BS49" s="80" t="s">
        <v>125</v>
      </c>
      <c r="BT49" s="79" t="e">
        <f>IFERROR(Pi_HR_2_H2_C2/BQ53,NA())</f>
        <v>#N/A</v>
      </c>
      <c r="CB49" s="49"/>
      <c r="CC49" s="113"/>
      <c r="CD49" s="80" t="s">
        <v>125</v>
      </c>
      <c r="CE49" s="79" t="e">
        <f>IFERROR(Pi_HR_2_H2_C2/BQ53,NA())</f>
        <v>#N/A</v>
      </c>
      <c r="CM49" s="49"/>
      <c r="CN49" s="113"/>
      <c r="CO49" s="80" t="s">
        <v>125</v>
      </c>
      <c r="CP49" s="79" t="e">
        <f>IFERROR(Pi_HR_3_H2_C2/BQ53,NA())</f>
        <v>#N/A</v>
      </c>
      <c r="CX49" s="49"/>
      <c r="CY49" s="113"/>
      <c r="CZ49" s="80" t="s">
        <v>125</v>
      </c>
      <c r="DA49" s="79" t="e">
        <f>IFERROR(Pi_HR_4_H2_C2/BQ53,NA())</f>
        <v>#N/A</v>
      </c>
      <c r="DI49" s="49"/>
    </row>
    <row r="50" spans="1:113" ht="18" x14ac:dyDescent="0.35">
      <c r="H50" s="80" t="s">
        <v>25</v>
      </c>
      <c r="I50" s="22" t="e">
        <f>CHOOSE(F48,VLOOKUP(H49,Rsi_ventana_puerta,2,FALSE),Rsi_opaco)</f>
        <v>#N/A</v>
      </c>
      <c r="K50" s="75" t="s">
        <v>109</v>
      </c>
      <c r="L50" s="78">
        <f>IF(ISNUMBER(ϴi_H2_C1),IF(ϴi_H2_C1&gt;=0,610.5*EXP((17.269*ϴi_H2_C1)/(237.3+ϴi_H2_C1)),610.5*EXP((21.875*ϴi_H2_C1)/(265.5+ϴi_H2_C1))),NA())</f>
        <v>2196.1512432322252</v>
      </c>
      <c r="M50" s="113"/>
      <c r="N50" s="80" t="s">
        <v>126</v>
      </c>
      <c r="O50" s="82" t="e">
        <f>IFERROR(IF(O$49&lt;610.5,((265.5)*(LOG(O$49/610.5,EXP(1)))/((21.875)-(LOG(O$49/610.5,EXP(1))))),((237.3)*(LOG(O$49/610.5,EXP(1)))/((17.269)-(LOG(O$49/610.5,EXP(1)))))),NA())</f>
        <v>#N/A</v>
      </c>
      <c r="W50" s="49"/>
      <c r="X50" s="113"/>
      <c r="Y50" s="80" t="s">
        <v>126</v>
      </c>
      <c r="Z50" s="82" t="e">
        <f>IFERROR(IF(Z$49&lt;610.5,((265.5)*(LOG(Z$49/610.5,EXP(1)))/((21.875)-(LOG(Z$49/610.5,EXP(1))))),((237.3)*(LOG(Z$49/610.5,EXP(1)))/((17.269)-(LOG(Z$49/610.5,EXP(1)))))),NA())</f>
        <v>#N/A</v>
      </c>
      <c r="AH50" s="49"/>
      <c r="AI50" s="113"/>
      <c r="AJ50" s="80" t="s">
        <v>126</v>
      </c>
      <c r="AK50" s="82" t="e">
        <f>IFERROR(IF(AK$49&lt;610.5,((265.5)*(LOG(AK$49/610.5,EXP(1)))/((21.875)-(LOG(AK$49/610.5,EXP(1))))),((237.3)*(LOG(AK$49/610.5,EXP(1)))/((17.269)-(LOG(AK$49/610.5,EXP(1)))))),NA())</f>
        <v>#N/A</v>
      </c>
      <c r="AS50" s="49"/>
      <c r="AT50" s="113"/>
      <c r="AU50" s="80" t="s">
        <v>126</v>
      </c>
      <c r="AV50" s="82" t="e">
        <f>IFERROR(IF(AV$49&lt;610.5,((265.5)*(LOG(AV$49/610.5,EXP(1)))/((21.875)-(LOG(AV$49/610.5,EXP(1))))),((237.3)*(LOG(AV$49/610.5,EXP(1)))/((17.269)-(LOG(AV$49/610.5,EXP(1)))))),NA())</f>
        <v>#N/A</v>
      </c>
      <c r="BD50" s="49"/>
      <c r="BM50" s="28" t="s">
        <v>25</v>
      </c>
      <c r="BN50" s="22" t="e">
        <f>CHOOSE(BK48,VLOOKUP(BM49,Rsi_ventana_puerta,2,FALSE),Rsi_opaco)</f>
        <v>#N/A</v>
      </c>
      <c r="BP50" s="75" t="s">
        <v>108</v>
      </c>
      <c r="BQ50" s="73" t="e">
        <f>IF(ISNUMBER(ϴe_H2_C2),IF(ϴe_H2_C2&gt;=0,610.5*EXP((17.269*ϴe_H2_C2)/(237.3+ϴe_H2_C2)),610.5*EXP((21.875*ϴe_H2_C2)/(265.5+ϴe_H2_C2))),NA())</f>
        <v>#N/A</v>
      </c>
      <c r="BR50" s="113"/>
      <c r="BS50" s="80" t="s">
        <v>126</v>
      </c>
      <c r="BT50" s="82" t="e">
        <f>IFERROR(IF(BT$49&lt;610.5,((265.5)*(LOG(BT$49/610.5,EXP(1)))/((21.875)-(LOG(BT$49/610.5,EXP(1))))),((237.3)*(LOG(BT$49/610.5,EXP(1)))/((17.269)-(LOG(BT$49/610.5,EXP(1)))))),NA())</f>
        <v>#N/A</v>
      </c>
      <c r="CB50" s="49"/>
      <c r="CC50" s="113"/>
      <c r="CD50" s="80" t="s">
        <v>126</v>
      </c>
      <c r="CE50" s="82" t="e">
        <f>IFERROR(IF(CE$49&lt;610.5,((265.5)*(LOG(CE$49/610.5,EXP(1)))/((21.875)-(LOG(CE$49/610.5,EXP(1))))),((237.3)*(LOG(CE$49/610.5,EXP(1)))/((17.269)-(LOG(CE$49/610.5,EXP(1)))))),NA())</f>
        <v>#N/A</v>
      </c>
      <c r="CM50" s="49"/>
      <c r="CN50" s="113"/>
      <c r="CO50" s="80" t="s">
        <v>126</v>
      </c>
      <c r="CP50" s="82" t="e">
        <f>IFERROR(IF(CP$49&lt;610.5,((265.5)*(LOG(CP$49/610.5,EXP(1)))/((21.875)-(LOG(CP$49/610.5,EXP(1))))),((237.3)*(LOG(CP$49/610.5,EXP(1)))/((17.269)-(LOG(CP$49/610.5,EXP(1)))))),NA())</f>
        <v>#N/A</v>
      </c>
      <c r="CX50" s="49"/>
      <c r="CY50" s="113"/>
      <c r="CZ50" s="80" t="s">
        <v>126</v>
      </c>
      <c r="DA50" s="82" t="e">
        <f>IFERROR(IF(DA$49&lt;610.5,((265.5)*(LOG(DA$49/610.5,EXP(1)))/((21.875)-(LOG(DA$49/610.5,EXP(1))))),((237.3)*(LOG(DA$49/610.5,EXP(1)))/((17.269)-(LOG(DA$49/610.5,EXP(1)))))),NA())</f>
        <v>#N/A</v>
      </c>
      <c r="DI50" s="49"/>
    </row>
    <row r="51" spans="1:113" ht="18" x14ac:dyDescent="0.35">
      <c r="H51" s="80" t="s">
        <v>105</v>
      </c>
      <c r="I51" s="22">
        <f>Rse</f>
        <v>0.04</v>
      </c>
      <c r="K51" s="75" t="s">
        <v>156</v>
      </c>
      <c r="L51" s="78" t="e">
        <f>P_sat_e_AT2_C1*φe_H2_C1</f>
        <v>#N/A</v>
      </c>
      <c r="M51" s="113"/>
      <c r="N51" s="80" t="s">
        <v>127</v>
      </c>
      <c r="O51" s="83" t="e">
        <f>IFERROR((O$50-ϴe_H2_C1)/(ϴi_H2_C1-ϴe_H2_C1),NA())</f>
        <v>#N/A</v>
      </c>
      <c r="W51" s="49"/>
      <c r="X51" s="113"/>
      <c r="Y51" s="80" t="s">
        <v>127</v>
      </c>
      <c r="Z51" s="83" t="e">
        <f>IFERROR((Z$50-ϴe_H2_C1)/(ϴi_H2_C1-ϴe_H2_C1),NA())</f>
        <v>#N/A</v>
      </c>
      <c r="AH51" s="49"/>
      <c r="AI51" s="113"/>
      <c r="AJ51" s="80" t="s">
        <v>127</v>
      </c>
      <c r="AK51" s="83" t="e">
        <f>IFERROR((AK$50-ϴe_H2_C1)/(ϴi_H2_C1-ϴe_H2_C1),NA())</f>
        <v>#N/A</v>
      </c>
      <c r="AS51" s="49"/>
      <c r="AT51" s="113"/>
      <c r="AU51" s="80" t="s">
        <v>127</v>
      </c>
      <c r="AV51" s="83" t="e">
        <f>IFERROR((AV$50-ϴe_H2_C1)/(ϴi_H2_C1-ϴe_H2_C1),NA())</f>
        <v>#N/A</v>
      </c>
      <c r="BD51" s="49"/>
      <c r="BM51" s="28" t="s">
        <v>105</v>
      </c>
      <c r="BN51" s="22">
        <f>Rse</f>
        <v>0.04</v>
      </c>
      <c r="BP51" s="75" t="s">
        <v>109</v>
      </c>
      <c r="BQ51" s="73">
        <f>IF(ISNUMBER(ϴi_H2_C2),IF(ϴi_H2_C2&gt;=0,610.5*EXP((17.269*ϴi_H2_C2)/(237.3+ϴi_H2_C2)),610.5*EXP((21.875*ϴi_H2_C2)/(265.5+ϴi_H2_C2))),NA())</f>
        <v>2196.1512432322252</v>
      </c>
      <c r="BR51" s="113"/>
      <c r="BS51" s="80" t="s">
        <v>127</v>
      </c>
      <c r="BT51" s="83" t="e">
        <f>IFERROR((BT$50-ϴe_H2_C2)/(ϴi_H2_C2-ϴe_H2_C2),NA())</f>
        <v>#N/A</v>
      </c>
      <c r="CB51" s="49"/>
      <c r="CC51" s="113"/>
      <c r="CD51" s="80" t="s">
        <v>127</v>
      </c>
      <c r="CE51" s="83" t="e">
        <f>IFERROR((CE$50-ϴe_H2_C2)/(ϴi_H2_C2-ϴe_H2_C2),NA())</f>
        <v>#N/A</v>
      </c>
      <c r="CM51" s="49"/>
      <c r="CN51" s="113"/>
      <c r="CO51" s="80" t="s">
        <v>127</v>
      </c>
      <c r="CP51" s="83" t="e">
        <f>IFERROR((CP$50-ϴe_H2_C2)/(ϴi_H2_C2-ϴe_H2_C2),NA())</f>
        <v>#N/A</v>
      </c>
      <c r="CX51" s="49"/>
      <c r="CY51" s="113"/>
      <c r="CZ51" s="80" t="s">
        <v>127</v>
      </c>
      <c r="DA51" s="83" t="e">
        <f>IFERROR((DA$50-ϴe_H2_C2)/(ϴi_H2_C2-ϴe_H2_C2),NA())</f>
        <v>#N/A</v>
      </c>
      <c r="DI51" s="49"/>
    </row>
    <row r="52" spans="1:113" ht="18" x14ac:dyDescent="0.35">
      <c r="K52" s="75" t="s">
        <v>275</v>
      </c>
      <c r="L52" s="17">
        <f>Aux!$AK$3</f>
        <v>19</v>
      </c>
      <c r="M52" s="114"/>
      <c r="N52" s="80" t="s">
        <v>122</v>
      </c>
      <c r="O52" s="22" t="e">
        <f>IF(Capas_AT2_C1&gt;0,IFERROR(Rsi_H2/(1-O$51),"inf"),NA())</f>
        <v>#N/A</v>
      </c>
      <c r="W52" s="49"/>
      <c r="X52" s="114"/>
      <c r="Y52" s="80" t="s">
        <v>122</v>
      </c>
      <c r="Z52" s="22" t="e">
        <f>IF(Capas_AT2_C1&gt;0,IFERROR(Rsi_H2/(1-Z$51),"inf"),NA())</f>
        <v>#N/A</v>
      </c>
      <c r="AH52" s="49"/>
      <c r="AI52" s="114"/>
      <c r="AJ52" s="80" t="s">
        <v>122</v>
      </c>
      <c r="AK52" s="22" t="e">
        <f>IF(Capas_AT2_C1&gt;0,IFERROR(Rsi_H2/(1-AK$51),"inf"),NA())</f>
        <v>#N/A</v>
      </c>
      <c r="AS52" s="49"/>
      <c r="AT52" s="114"/>
      <c r="AU52" s="80" t="s">
        <v>122</v>
      </c>
      <c r="AV52" s="22" t="e">
        <f>IF(Capas_AT2_C1&gt;0,IFERROR(Rsi_H2/(1-AV$51),"inf"),NA())</f>
        <v>#N/A</v>
      </c>
      <c r="BD52" s="49"/>
      <c r="BP52" s="75" t="s">
        <v>275</v>
      </c>
      <c r="BQ52" s="17">
        <f>Aux!$AK$3</f>
        <v>19</v>
      </c>
      <c r="BR52" s="114"/>
      <c r="BS52" s="80" t="s">
        <v>122</v>
      </c>
      <c r="BT52" s="22" t="e">
        <f>IF(Capas_AT2_C2&gt;0,IFERROR($BN$50/(1-BT$51),"inf"),NA())</f>
        <v>#N/A</v>
      </c>
      <c r="CB52" s="49"/>
      <c r="CC52" s="114"/>
      <c r="CD52" s="80" t="s">
        <v>122</v>
      </c>
      <c r="CE52" s="22" t="e">
        <f>IF(Capas_AT2_C2&gt;0,IFERROR($BN$50/(1-CE$51),"inf"),NA())</f>
        <v>#N/A</v>
      </c>
      <c r="CM52" s="49"/>
      <c r="CN52" s="114"/>
      <c r="CO52" s="80" t="s">
        <v>122</v>
      </c>
      <c r="CP52" s="22" t="e">
        <f>IF(Capas_AT2_C2&gt;0,IFERROR($BN$50/(1-CP$51),"inf"),NA())</f>
        <v>#N/A</v>
      </c>
      <c r="CX52" s="49"/>
      <c r="CY52" s="114"/>
      <c r="CZ52" s="80" t="s">
        <v>122</v>
      </c>
      <c r="DA52" s="22" t="e">
        <f>IF(Capas_AT2_C2&gt;0,IFERROR($BN$50/(1-DA$51),"inf"),NA())</f>
        <v>#N/A</v>
      </c>
      <c r="DI52" s="49"/>
    </row>
    <row r="53" spans="1:113" x14ac:dyDescent="0.25">
      <c r="K53" s="75" t="s">
        <v>278</v>
      </c>
      <c r="L53" s="17">
        <f>Seccion2!φsicr_C1</f>
        <v>0</v>
      </c>
      <c r="M53" s="43"/>
      <c r="N53" s="28" t="s">
        <v>159</v>
      </c>
      <c r="O53" s="17" t="e">
        <f>IF(Capas_AT2_C1&gt;0,IF(IFERROR(RT_H2_C1&lt;=O$52,TRUE)+(Q30&gt;=$L$53),TRUE,FALSE),NA())</f>
        <v>#N/A</v>
      </c>
      <c r="W53" s="49"/>
      <c r="X53" s="43"/>
      <c r="Y53" s="28" t="s">
        <v>159</v>
      </c>
      <c r="Z53" s="17" t="e">
        <f>IF(Capas_AT2_C1&gt;0,IF(IFERROR(RT_H2_C1&lt;=Z$52,TRUE)+(AH30&gt;=$L$53),TRUE,FALSE),NA())</f>
        <v>#N/A</v>
      </c>
      <c r="AH53" s="49"/>
      <c r="AI53" s="43"/>
      <c r="AJ53" s="28" t="s">
        <v>159</v>
      </c>
      <c r="AK53" s="17" t="e">
        <f>IF(Capas_AT2_C1&gt;0,IF(IFERROR(RT_H2_C1&lt;=AK$52,TRUE)+(AS30&gt;=$L$53),TRUE,FALSE),NA())</f>
        <v>#N/A</v>
      </c>
      <c r="AS53" s="49"/>
      <c r="AT53" s="43"/>
      <c r="AU53" s="28" t="s">
        <v>159</v>
      </c>
      <c r="AV53" s="17" t="e">
        <f>IF(Capas_AT2_C1&gt;0,IF(IFERROR(RT_H2_C1&lt;=AV$52,TRUE)+(BD30&gt;=$L$53),TRUE,FALSE),NA())</f>
        <v>#N/A</v>
      </c>
      <c r="BD53" s="49"/>
      <c r="BP53" s="75" t="s">
        <v>278</v>
      </c>
      <c r="BQ53" s="17">
        <f>Seccion2!φsicr_C2</f>
        <v>0</v>
      </c>
      <c r="BR53" s="43"/>
      <c r="BS53" s="28" t="s">
        <v>159</v>
      </c>
      <c r="BT53" s="17" t="e">
        <f>IF(Capas_AT2_C2&gt;0,IF(IFERROR(RT_H2_C2&lt;=BT$52,TRUE)+(CB30&gt;=$BQ$53),TRUE,FALSE),NA())</f>
        <v>#N/A</v>
      </c>
      <c r="CB53" s="49"/>
      <c r="CC53" s="43"/>
      <c r="CD53" s="28" t="s">
        <v>159</v>
      </c>
      <c r="CE53" s="17" t="e">
        <f>IF(Capas_AT2_C2&gt;0,IF(IFERROR(RT_H2_C2&lt;=CE$52,TRUE)+(CM30&gt;=$BQ$53),TRUE,FALSE),NA())</f>
        <v>#N/A</v>
      </c>
      <c r="CM53" s="49"/>
      <c r="CN53" s="43"/>
      <c r="CO53" s="28" t="s">
        <v>159</v>
      </c>
      <c r="CP53" s="17" t="e">
        <f>IF(Capas_AT2_C2&gt;0,IF(IFERROR(RT_H2_C2&lt;=CP$52,TRUE)+(CX30&gt;=$BQ$53),TRUE,FALSE),NA())</f>
        <v>#N/A</v>
      </c>
      <c r="CX53" s="49"/>
      <c r="CY53" s="43"/>
      <c r="CZ53" s="28" t="s">
        <v>159</v>
      </c>
      <c r="DA53" s="17" t="e">
        <f>IF(Capas_AT2_C2&gt;0,IF(IFERROR(RT_H2_C2&lt;=DA$52,TRUE)+(DI30&gt;=$BQ$53),TRUE,FALSE),NA())</f>
        <v>#N/A</v>
      </c>
      <c r="DI53" s="49"/>
    </row>
    <row r="54" spans="1:113" ht="15.75" thickBot="1" x14ac:dyDescent="0.3">
      <c r="K54" s="57"/>
      <c r="L54" s="61"/>
      <c r="M54" s="57"/>
      <c r="N54" s="115" t="s">
        <v>161</v>
      </c>
      <c r="O54" s="58" t="e">
        <f>δ_0*(Pi_HR_1_H2_C1-Pe_H2_C1)/Sd_T_H2_C1</f>
        <v>#N/A</v>
      </c>
      <c r="P54" s="58"/>
      <c r="Q54" s="58"/>
      <c r="R54" s="58"/>
      <c r="S54" s="58"/>
      <c r="T54" s="58"/>
      <c r="U54" s="58"/>
      <c r="V54" s="58"/>
      <c r="W54" s="61"/>
      <c r="X54" s="57"/>
      <c r="Y54" s="115" t="s">
        <v>161</v>
      </c>
      <c r="Z54" s="58" t="e">
        <f>δ_0*(Pi_HR_2_H2_C1-Pe_H2_C1)/Sd_T_H2_C1</f>
        <v>#N/A</v>
      </c>
      <c r="AA54" s="58"/>
      <c r="AB54" s="58"/>
      <c r="AC54" s="58"/>
      <c r="AD54" s="58"/>
      <c r="AE54" s="58"/>
      <c r="AF54" s="58"/>
      <c r="AG54" s="58"/>
      <c r="AH54" s="61"/>
      <c r="AI54" s="57"/>
      <c r="AJ54" s="115" t="s">
        <v>161</v>
      </c>
      <c r="AK54" s="58" t="e">
        <f>δ_0*(Pi_HR_3_H2_C1-Pe_H2_C1)/Sd_T_H2_C1</f>
        <v>#N/A</v>
      </c>
      <c r="AL54" s="58"/>
      <c r="AM54" s="58"/>
      <c r="AN54" s="58"/>
      <c r="AO54" s="58"/>
      <c r="AP54" s="58"/>
      <c r="AQ54" s="58"/>
      <c r="AR54" s="58"/>
      <c r="AS54" s="61"/>
      <c r="AT54" s="57"/>
      <c r="AU54" s="115" t="s">
        <v>161</v>
      </c>
      <c r="AV54" s="58" t="e">
        <f>δ_0*(Pi_HR_4_H2_C1-Pe_H2_C1)/Sd_T_H2_C1</f>
        <v>#N/A</v>
      </c>
      <c r="AW54" s="58"/>
      <c r="AX54" s="58"/>
      <c r="AY54" s="58"/>
      <c r="AZ54" s="58"/>
      <c r="BA54" s="58"/>
      <c r="BB54" s="58"/>
      <c r="BC54" s="58"/>
      <c r="BD54" s="61"/>
      <c r="BR54" s="57"/>
      <c r="BS54" s="115" t="s">
        <v>161</v>
      </c>
      <c r="BT54" s="84" t="e">
        <f>δ_0*(Pi_HR_1_H2_C2-Pe_H2_C2)/Sd_T_H2_C2</f>
        <v>#N/A</v>
      </c>
      <c r="BU54" s="58"/>
      <c r="BV54" s="58"/>
      <c r="BW54" s="58"/>
      <c r="BX54" s="58"/>
      <c r="BY54" s="58"/>
      <c r="BZ54" s="58"/>
      <c r="CA54" s="58"/>
      <c r="CB54" s="61"/>
      <c r="CC54" s="57"/>
      <c r="CD54" s="115" t="s">
        <v>161</v>
      </c>
      <c r="CE54" s="84" t="e">
        <f>δ_0*(Pi_HR_2_H2_C2-Pe_H2_C2)/Sd_T_H2_C2</f>
        <v>#N/A</v>
      </c>
      <c r="CF54" s="58"/>
      <c r="CG54" s="58"/>
      <c r="CH54" s="58"/>
      <c r="CI54" s="58"/>
      <c r="CJ54" s="58"/>
      <c r="CK54" s="58"/>
      <c r="CL54" s="58"/>
      <c r="CM54" s="61"/>
      <c r="CN54" s="57"/>
      <c r="CO54" s="115" t="s">
        <v>161</v>
      </c>
      <c r="CP54" s="84" t="e">
        <f>δ_0*(Pi_HR_3_H2_C2-Pe_H2_C2)/Sd_T_H2_C2</f>
        <v>#N/A</v>
      </c>
      <c r="CQ54" s="58"/>
      <c r="CR54" s="58"/>
      <c r="CS54" s="58"/>
      <c r="CT54" s="58"/>
      <c r="CU54" s="58"/>
      <c r="CV54" s="58"/>
      <c r="CW54" s="58"/>
      <c r="CX54" s="61"/>
      <c r="CY54" s="57"/>
      <c r="CZ54" s="115" t="s">
        <v>161</v>
      </c>
      <c r="DA54" s="58" t="e">
        <f>δ_0*(Pi_HR_4_H2_C2-Pe_H2_C2)/Sd_T_H2_C2</f>
        <v>#N/A</v>
      </c>
      <c r="DB54" s="58"/>
      <c r="DC54" s="58"/>
      <c r="DD54" s="58"/>
      <c r="DE54" s="58"/>
      <c r="DF54" s="58"/>
      <c r="DG54" s="58"/>
      <c r="DH54" s="58"/>
      <c r="DI54" s="61"/>
    </row>
    <row r="55" spans="1:113" s="85" customFormat="1" x14ac:dyDescent="0.25"/>
    <row r="56" spans="1:113" ht="15.75" thickBot="1" x14ac:dyDescent="0.3">
      <c r="A56" s="89" t="s">
        <v>293</v>
      </c>
      <c r="B56" s="89"/>
      <c r="C56" s="89"/>
      <c r="D56" s="89"/>
      <c r="E56" s="89"/>
      <c r="F56" s="89"/>
      <c r="G56" s="89"/>
      <c r="H56" s="89"/>
      <c r="I56" s="89"/>
      <c r="J56" s="89"/>
      <c r="K56" s="89"/>
      <c r="L56" s="89"/>
      <c r="M56" s="89"/>
      <c r="N56" s="89"/>
      <c r="O56" s="89"/>
      <c r="P56" s="89"/>
      <c r="Q56" s="90"/>
      <c r="R56" s="90"/>
      <c r="S56" s="90"/>
      <c r="T56" s="90"/>
      <c r="U56" s="90"/>
      <c r="V56" s="90"/>
      <c r="W56" s="90"/>
      <c r="X56" s="89"/>
      <c r="Y56" s="90"/>
      <c r="Z56" s="90"/>
      <c r="AA56" s="90"/>
      <c r="AB56" s="90"/>
      <c r="AC56" s="90"/>
      <c r="AD56" s="90"/>
      <c r="AE56" s="90"/>
      <c r="AF56" s="90"/>
      <c r="AG56" s="90"/>
      <c r="AH56" s="90"/>
      <c r="AI56" s="89"/>
      <c r="AJ56" s="90"/>
      <c r="AK56" s="90"/>
      <c r="AL56" s="90"/>
      <c r="AM56" s="90"/>
      <c r="AN56" s="89"/>
      <c r="AO56" s="89"/>
      <c r="AP56" s="89"/>
      <c r="AQ56" s="89"/>
      <c r="AR56" s="89"/>
      <c r="AS56" s="90"/>
      <c r="AT56" s="89"/>
      <c r="AU56" s="89"/>
      <c r="AV56" s="89"/>
      <c r="AW56" s="89"/>
      <c r="AX56" s="89"/>
      <c r="AY56" s="89"/>
      <c r="AZ56" s="89"/>
      <c r="BA56" s="89"/>
      <c r="BB56" s="89"/>
      <c r="BC56" s="89"/>
      <c r="BD56" s="90"/>
      <c r="BE56" s="91"/>
      <c r="BF56" s="89" t="s">
        <v>294</v>
      </c>
      <c r="BG56" s="89"/>
      <c r="BH56" s="89"/>
      <c r="BI56" s="89"/>
      <c r="BJ56" s="89"/>
      <c r="BK56" s="89"/>
      <c r="BL56" s="89"/>
      <c r="BM56" s="89"/>
      <c r="BN56" s="89"/>
      <c r="BO56" s="89"/>
      <c r="BP56" s="89"/>
      <c r="BQ56" s="89"/>
      <c r="BR56" s="89"/>
      <c r="BS56" s="89"/>
      <c r="BT56" s="89"/>
      <c r="BU56" s="89"/>
      <c r="BV56" s="89"/>
      <c r="BW56" s="89"/>
      <c r="BX56" s="89"/>
      <c r="BY56" s="89"/>
      <c r="BZ56" s="89"/>
      <c r="CA56" s="89"/>
      <c r="CB56" s="90"/>
      <c r="CC56" s="89"/>
      <c r="CD56" s="89"/>
      <c r="CE56" s="89"/>
      <c r="CF56" s="89"/>
      <c r="CG56" s="89"/>
      <c r="CH56" s="89"/>
      <c r="CI56" s="89"/>
      <c r="CJ56" s="89"/>
      <c r="CK56" s="89"/>
      <c r="CL56" s="89"/>
      <c r="CM56" s="90"/>
      <c r="CN56" s="89"/>
      <c r="CO56" s="89"/>
      <c r="CP56" s="89"/>
      <c r="CQ56" s="89"/>
      <c r="CR56" s="89"/>
      <c r="CS56" s="89"/>
      <c r="CT56" s="89"/>
      <c r="CU56" s="89"/>
      <c r="CV56" s="89"/>
      <c r="CW56" s="89"/>
      <c r="CX56" s="90"/>
      <c r="CY56" s="89"/>
      <c r="CZ56" s="89"/>
      <c r="DA56" s="89"/>
      <c r="DB56" s="89"/>
      <c r="DC56" s="89"/>
      <c r="DD56" s="89"/>
      <c r="DE56" s="89"/>
      <c r="DF56" s="89"/>
      <c r="DG56" s="89"/>
      <c r="DH56" s="89"/>
      <c r="DI56" s="90"/>
    </row>
    <row r="57" spans="1:113" ht="15.75" thickBot="1" x14ac:dyDescent="0.3">
      <c r="G57" s="28"/>
      <c r="H57" s="28"/>
      <c r="I57" s="28"/>
      <c r="J57" s="28"/>
      <c r="K57" s="29" t="s">
        <v>179</v>
      </c>
      <c r="L57" s="30">
        <v>11</v>
      </c>
      <c r="M57" s="110"/>
      <c r="N57" s="32"/>
      <c r="O57" s="32"/>
      <c r="P57" s="32"/>
      <c r="Q57" s="32"/>
      <c r="R57" s="32"/>
      <c r="S57" s="32"/>
      <c r="T57" s="32"/>
      <c r="U57" s="32"/>
      <c r="V57" s="32"/>
      <c r="W57" s="33"/>
      <c r="X57" s="110"/>
      <c r="Y57" s="34" t="s">
        <v>164</v>
      </c>
      <c r="Z57" s="31">
        <f ca="1">P_sat_i_VN_C1*VLOOKUP(2,φi[],2,FALSE)</f>
        <v>1752.7133578517564</v>
      </c>
      <c r="AA57" s="34"/>
      <c r="AB57" s="34"/>
      <c r="AC57" s="32"/>
      <c r="AD57" s="32"/>
      <c r="AE57" s="32"/>
      <c r="AF57" s="32"/>
      <c r="AG57" s="34" t="s">
        <v>268</v>
      </c>
      <c r="AH57" s="30">
        <f>VLOOKUP(2,φi[],2,FALSE)</f>
        <v>0.75</v>
      </c>
      <c r="AI57" s="110"/>
      <c r="AJ57" s="34" t="s">
        <v>165</v>
      </c>
      <c r="AK57" s="31">
        <f ca="1">P_sat_i_VN_C1*VLOOKUP(3,φi[],2,FALSE)</f>
        <v>1869.5609150418736</v>
      </c>
      <c r="AL57" s="32"/>
      <c r="AM57" s="34"/>
      <c r="AN57" s="34"/>
      <c r="AO57" s="34"/>
      <c r="AP57" s="34"/>
      <c r="AQ57" s="34"/>
      <c r="AR57" s="34" t="s">
        <v>269</v>
      </c>
      <c r="AS57" s="116">
        <f>VLOOKUP(3,φi[],2,FALSE)</f>
        <v>0.8</v>
      </c>
      <c r="AT57" s="110"/>
      <c r="AU57" s="34" t="s">
        <v>166</v>
      </c>
      <c r="AV57" s="31">
        <f ca="1">P_sat_i_VN_C1*$BD$57</f>
        <v>0</v>
      </c>
      <c r="AW57" s="32"/>
      <c r="AX57" s="34"/>
      <c r="AY57" s="34"/>
      <c r="AZ57" s="34"/>
      <c r="BA57" s="34"/>
      <c r="BB57" s="34"/>
      <c r="BC57" s="34" t="s">
        <v>154</v>
      </c>
      <c r="BD57" s="30"/>
      <c r="BF57" s="35"/>
      <c r="BG57" s="35"/>
      <c r="BJ57" s="35"/>
      <c r="BK57" s="35"/>
      <c r="BL57" s="35"/>
      <c r="BM57" s="35"/>
      <c r="BN57" s="35"/>
      <c r="BO57" s="35"/>
      <c r="BP57" s="36" t="s">
        <v>179</v>
      </c>
      <c r="BQ57" s="30">
        <v>7</v>
      </c>
      <c r="BR57" s="110"/>
      <c r="BS57" s="34" t="s">
        <v>163</v>
      </c>
      <c r="BT57" s="31">
        <f ca="1">P_sat_i_VN_C1*VLOOKUP(1,φi[],2,FALSE)</f>
        <v>1519.0182434715223</v>
      </c>
      <c r="BU57" s="32"/>
      <c r="BV57" s="32"/>
      <c r="BW57" s="32"/>
      <c r="BX57" s="32"/>
      <c r="BY57" s="32"/>
      <c r="BZ57" s="32"/>
      <c r="CA57" s="32"/>
      <c r="CB57" s="33"/>
      <c r="CC57" s="110"/>
      <c r="CD57" s="34" t="s">
        <v>164</v>
      </c>
      <c r="CE57" s="31">
        <f ca="1">P_sat_i_VN_C1*VLOOKUP(2,φi[],2,FALSE)</f>
        <v>1752.7133578517564</v>
      </c>
      <c r="CF57" s="34"/>
      <c r="CG57" s="32"/>
      <c r="CH57" s="32"/>
      <c r="CI57" s="32"/>
      <c r="CJ57" s="32"/>
      <c r="CK57" s="32"/>
      <c r="CL57" s="32"/>
      <c r="CM57" s="33"/>
      <c r="CN57" s="110"/>
      <c r="CO57" s="34" t="s">
        <v>165</v>
      </c>
      <c r="CP57" s="31">
        <f ca="1">P_sat_i_VN_C1*VLOOKUP(3,φi[],2,FALSE)</f>
        <v>1869.5609150418736</v>
      </c>
      <c r="CQ57" s="32"/>
      <c r="CR57" s="32"/>
      <c r="CS57" s="32"/>
      <c r="CT57" s="32"/>
      <c r="CU57" s="32"/>
      <c r="CV57" s="32"/>
      <c r="CW57" s="32"/>
      <c r="CX57" s="33"/>
      <c r="CY57" s="110"/>
      <c r="CZ57" s="34" t="s">
        <v>166</v>
      </c>
      <c r="DA57" s="31" t="e">
        <f>P_sat_i_VN_C2*$DI$57</f>
        <v>#N/A</v>
      </c>
      <c r="DB57" s="34"/>
      <c r="DC57" s="32"/>
      <c r="DD57" s="32"/>
      <c r="DE57" s="32"/>
      <c r="DF57" s="32"/>
      <c r="DG57" s="32"/>
      <c r="DH57" s="34" t="s">
        <v>154</v>
      </c>
      <c r="DI57" s="33"/>
    </row>
    <row r="58" spans="1:113" x14ac:dyDescent="0.25">
      <c r="A58" s="37"/>
      <c r="B58" s="38"/>
      <c r="C58" s="39" t="s">
        <v>114</v>
      </c>
      <c r="D58" s="39" t="s">
        <v>115</v>
      </c>
      <c r="E58" s="40" t="s">
        <v>28</v>
      </c>
      <c r="F58" s="40" t="s">
        <v>184</v>
      </c>
      <c r="G58" s="40" t="s">
        <v>116</v>
      </c>
      <c r="H58" s="40" t="s">
        <v>117</v>
      </c>
      <c r="I58" s="40" t="s">
        <v>118</v>
      </c>
      <c r="J58" s="41" t="s">
        <v>119</v>
      </c>
      <c r="K58" s="42" t="s">
        <v>120</v>
      </c>
      <c r="L58" s="41" t="s">
        <v>121</v>
      </c>
      <c r="M58" s="42" t="s">
        <v>265</v>
      </c>
      <c r="N58" s="40" t="s">
        <v>146</v>
      </c>
      <c r="O58" s="40" t="s">
        <v>147</v>
      </c>
      <c r="P58" s="40" t="s">
        <v>167</v>
      </c>
      <c r="Q58" s="41" t="s">
        <v>266</v>
      </c>
      <c r="R58" s="40" t="s">
        <v>170</v>
      </c>
      <c r="S58" s="40" t="s">
        <v>178</v>
      </c>
      <c r="T58" s="40" t="s">
        <v>169</v>
      </c>
      <c r="U58" s="40" t="s">
        <v>168</v>
      </c>
      <c r="V58" s="40" t="s">
        <v>175</v>
      </c>
      <c r="W58" s="40" t="s">
        <v>176</v>
      </c>
      <c r="X58" s="42" t="s">
        <v>265</v>
      </c>
      <c r="Y58" s="40" t="s">
        <v>148</v>
      </c>
      <c r="Z58" s="40" t="s">
        <v>149</v>
      </c>
      <c r="AA58" s="40" t="s">
        <v>170</v>
      </c>
      <c r="AB58" s="40" t="s">
        <v>178</v>
      </c>
      <c r="AC58" s="40" t="s">
        <v>169</v>
      </c>
      <c r="AD58" s="40" t="s">
        <v>168</v>
      </c>
      <c r="AE58" s="40" t="s">
        <v>175</v>
      </c>
      <c r="AF58" s="40" t="s">
        <v>176</v>
      </c>
      <c r="AG58" s="40" t="s">
        <v>171</v>
      </c>
      <c r="AH58" s="41" t="s">
        <v>266</v>
      </c>
      <c r="AI58" s="42" t="s">
        <v>265</v>
      </c>
      <c r="AJ58" s="40" t="s">
        <v>150</v>
      </c>
      <c r="AK58" s="40" t="s">
        <v>151</v>
      </c>
      <c r="AL58" s="40" t="s">
        <v>170</v>
      </c>
      <c r="AM58" s="40" t="s">
        <v>178</v>
      </c>
      <c r="AN58" s="40" t="s">
        <v>169</v>
      </c>
      <c r="AO58" s="40" t="s">
        <v>168</v>
      </c>
      <c r="AP58" s="40" t="s">
        <v>175</v>
      </c>
      <c r="AQ58" s="40" t="s">
        <v>176</v>
      </c>
      <c r="AR58" s="40" t="s">
        <v>172</v>
      </c>
      <c r="AS58" s="41" t="s">
        <v>266</v>
      </c>
      <c r="AT58" s="42" t="s">
        <v>265</v>
      </c>
      <c r="AU58" s="40" t="s">
        <v>152</v>
      </c>
      <c r="AV58" s="40" t="s">
        <v>153</v>
      </c>
      <c r="AW58" s="40" t="s">
        <v>170</v>
      </c>
      <c r="AX58" s="40" t="s">
        <v>178</v>
      </c>
      <c r="AY58" s="40" t="s">
        <v>169</v>
      </c>
      <c r="AZ58" s="40" t="s">
        <v>168</v>
      </c>
      <c r="BA58" s="40" t="s">
        <v>175</v>
      </c>
      <c r="BB58" s="40" t="s">
        <v>176</v>
      </c>
      <c r="BC58" s="40" t="s">
        <v>177</v>
      </c>
      <c r="BD58" s="41" t="s">
        <v>266</v>
      </c>
      <c r="BF58" s="37"/>
      <c r="BG58" s="38"/>
      <c r="BH58" s="39" t="s">
        <v>114</v>
      </c>
      <c r="BI58" s="39" t="s">
        <v>115</v>
      </c>
      <c r="BJ58" s="40" t="s">
        <v>28</v>
      </c>
      <c r="BK58" s="40"/>
      <c r="BL58" s="40" t="s">
        <v>116</v>
      </c>
      <c r="BM58" s="40" t="s">
        <v>117</v>
      </c>
      <c r="BN58" s="40" t="s">
        <v>118</v>
      </c>
      <c r="BO58" s="41" t="s">
        <v>119</v>
      </c>
      <c r="BP58" s="42" t="s">
        <v>120</v>
      </c>
      <c r="BQ58" s="41" t="s">
        <v>121</v>
      </c>
      <c r="BR58" s="42" t="s">
        <v>265</v>
      </c>
      <c r="BS58" s="35" t="s">
        <v>146</v>
      </c>
      <c r="BT58" s="35" t="s">
        <v>147</v>
      </c>
      <c r="BU58" s="35" t="s">
        <v>170</v>
      </c>
      <c r="BV58" s="35" t="s">
        <v>178</v>
      </c>
      <c r="BW58" s="35" t="s">
        <v>169</v>
      </c>
      <c r="BX58" s="35" t="s">
        <v>168</v>
      </c>
      <c r="BY58" s="35" t="s">
        <v>175</v>
      </c>
      <c r="BZ58" s="35" t="s">
        <v>176</v>
      </c>
      <c r="CA58" s="35" t="s">
        <v>167</v>
      </c>
      <c r="CB58" s="41" t="s">
        <v>266</v>
      </c>
      <c r="CC58" s="42" t="s">
        <v>265</v>
      </c>
      <c r="CD58" s="40" t="s">
        <v>148</v>
      </c>
      <c r="CE58" s="40" t="s">
        <v>149</v>
      </c>
      <c r="CF58" s="40" t="s">
        <v>170</v>
      </c>
      <c r="CG58" s="40" t="s">
        <v>178</v>
      </c>
      <c r="CH58" s="40" t="s">
        <v>169</v>
      </c>
      <c r="CI58" s="40" t="s">
        <v>168</v>
      </c>
      <c r="CJ58" s="40" t="s">
        <v>175</v>
      </c>
      <c r="CK58" s="40" t="s">
        <v>176</v>
      </c>
      <c r="CL58" s="40" t="s">
        <v>171</v>
      </c>
      <c r="CM58" s="41" t="s">
        <v>266</v>
      </c>
      <c r="CN58" s="42" t="s">
        <v>265</v>
      </c>
      <c r="CO58" s="35" t="s">
        <v>150</v>
      </c>
      <c r="CP58" s="35" t="s">
        <v>151</v>
      </c>
      <c r="CQ58" s="35" t="s">
        <v>170</v>
      </c>
      <c r="CR58" s="35" t="s">
        <v>178</v>
      </c>
      <c r="CS58" s="35" t="s">
        <v>169</v>
      </c>
      <c r="CT58" s="35" t="s">
        <v>168</v>
      </c>
      <c r="CU58" s="35" t="s">
        <v>175</v>
      </c>
      <c r="CV58" s="35" t="s">
        <v>176</v>
      </c>
      <c r="CW58" s="35" t="s">
        <v>171</v>
      </c>
      <c r="CX58" s="41" t="s">
        <v>266</v>
      </c>
      <c r="CY58" s="42" t="s">
        <v>265</v>
      </c>
      <c r="CZ58" s="40" t="s">
        <v>152</v>
      </c>
      <c r="DA58" s="40" t="s">
        <v>153</v>
      </c>
      <c r="DB58" s="40" t="s">
        <v>170</v>
      </c>
      <c r="DC58" s="40" t="s">
        <v>178</v>
      </c>
      <c r="DD58" s="40" t="s">
        <v>169</v>
      </c>
      <c r="DE58" s="40" t="s">
        <v>168</v>
      </c>
      <c r="DF58" s="40" t="s">
        <v>175</v>
      </c>
      <c r="DG58" s="40" t="s">
        <v>176</v>
      </c>
      <c r="DH58" s="40" t="s">
        <v>171</v>
      </c>
      <c r="DI58" s="41" t="s">
        <v>266</v>
      </c>
    </row>
    <row r="59" spans="1:113" x14ac:dyDescent="0.25">
      <c r="A59" s="43"/>
      <c r="B59" s="15" t="s">
        <v>103</v>
      </c>
      <c r="C59" s="44" t="s">
        <v>107</v>
      </c>
      <c r="D59" s="44" t="s">
        <v>107</v>
      </c>
      <c r="E59" s="44" t="s">
        <v>107</v>
      </c>
      <c r="F59" s="44" t="s">
        <v>107</v>
      </c>
      <c r="G59" s="44" t="s">
        <v>107</v>
      </c>
      <c r="H59" s="44" t="s">
        <v>107</v>
      </c>
      <c r="I59" s="44" t="s">
        <v>107</v>
      </c>
      <c r="J59" s="45" t="s">
        <v>107</v>
      </c>
      <c r="K59" s="46">
        <f ca="1">ϴe_H3_C1</f>
        <v>5</v>
      </c>
      <c r="L59" s="47">
        <f t="array" ref="L59:L72" ca="1">IF(ISNUMBER(ϴn_H3_C1),IF(ϴn_H3_C1&gt;=0,610.5*EXP((17.269*ϴn_H3_C1)/(237.3+ϴn_H3_C1)),610.5*EXP((21.875*ϴn_H3_C1)/(265.5+ϴn_H3_C1))),NA())</f>
        <v>871.86452524041533</v>
      </c>
      <c r="M59" s="54"/>
      <c r="N59" s="44" t="s">
        <v>107</v>
      </c>
      <c r="O59" s="44"/>
      <c r="Q59" s="49"/>
      <c r="T59" s="48"/>
      <c r="U59" s="48"/>
      <c r="V59" s="48"/>
      <c r="W59" s="48"/>
      <c r="X59" s="54"/>
      <c r="Y59" s="44" t="s">
        <v>107</v>
      </c>
      <c r="Z59" s="44"/>
      <c r="AC59" s="48"/>
      <c r="AD59" s="48"/>
      <c r="AE59" s="48"/>
      <c r="AF59" s="48"/>
      <c r="AH59" s="49"/>
      <c r="AI59" s="54"/>
      <c r="AJ59" s="44" t="s">
        <v>107</v>
      </c>
      <c r="AK59" s="44"/>
      <c r="AN59" s="48"/>
      <c r="AO59" s="48"/>
      <c r="AP59" s="48"/>
      <c r="AQ59" s="48"/>
      <c r="AT59" s="54"/>
      <c r="AU59" s="44" t="s">
        <v>107</v>
      </c>
      <c r="AV59" s="44"/>
      <c r="AY59" s="48"/>
      <c r="AZ59" s="48"/>
      <c r="BA59" s="48"/>
      <c r="BB59" s="48"/>
      <c r="BD59" s="49"/>
      <c r="BF59" s="43"/>
      <c r="BG59" s="15" t="s">
        <v>103</v>
      </c>
      <c r="BH59" s="44" t="s">
        <v>107</v>
      </c>
      <c r="BI59" s="44" t="s">
        <v>107</v>
      </c>
      <c r="BJ59" s="44" t="s">
        <v>107</v>
      </c>
      <c r="BK59" s="44" t="s">
        <v>107</v>
      </c>
      <c r="BL59" s="44" t="s">
        <v>107</v>
      </c>
      <c r="BM59" s="44" t="s">
        <v>107</v>
      </c>
      <c r="BN59" s="44" t="s">
        <v>107</v>
      </c>
      <c r="BO59" s="45" t="s">
        <v>107</v>
      </c>
      <c r="BP59" s="46">
        <f>ϴe_H3_C2</f>
        <v>-0.4</v>
      </c>
      <c r="BQ59" s="52">
        <f t="array" ref="BQ59:BQ72">IF(ISNUMBER(ϴn_H3_C2),IF(ϴn_H3_C2&gt;=0,610.5*EXP((17.269*ϴn_H3_C2)/(237.3+ϴn_H3_C2)),610.5*EXP((21.875*ϴn_H3_C2)/(265.5+ϴn_H3_C2))),NA())</f>
        <v>590.67850278800859</v>
      </c>
      <c r="BR59" s="54"/>
      <c r="BS59" s="44" t="s">
        <v>107</v>
      </c>
      <c r="BT59" s="44"/>
      <c r="CB59" s="49"/>
      <c r="CC59" s="54"/>
      <c r="CD59" s="44" t="s">
        <v>107</v>
      </c>
      <c r="CE59" s="44"/>
      <c r="CM59" s="49"/>
      <c r="CN59" s="54"/>
      <c r="CO59" s="44" t="s">
        <v>107</v>
      </c>
      <c r="CP59" s="44"/>
      <c r="CQ59" s="50"/>
      <c r="CX59" s="49"/>
      <c r="CY59" s="54"/>
      <c r="CZ59" s="44" t="s">
        <v>107</v>
      </c>
      <c r="DA59" s="44"/>
      <c r="DI59" s="49"/>
    </row>
    <row r="60" spans="1:113" x14ac:dyDescent="0.25">
      <c r="A60" s="43"/>
      <c r="B60" s="15" t="s">
        <v>106</v>
      </c>
      <c r="C60" s="44" t="s">
        <v>107</v>
      </c>
      <c r="D60" s="48">
        <v>0.04</v>
      </c>
      <c r="E60" s="44" t="s">
        <v>107</v>
      </c>
      <c r="F60" s="44" t="s">
        <v>107</v>
      </c>
      <c r="G60" s="51">
        <v>0</v>
      </c>
      <c r="H60" s="48">
        <f>IF(B60="",NA(),SUM($D$60:$D60))</f>
        <v>0.04</v>
      </c>
      <c r="I60" s="50">
        <v>0</v>
      </c>
      <c r="J60" s="52">
        <f>IF(I60="",NA(),SUM($I$60:$I60))</f>
        <v>0</v>
      </c>
      <c r="K60" s="53">
        <f t="array" aca="1" ref="K60:K72" ca="1">ϴe_H3_C1+Rn_H3_C1*($N$74-ϴe_H3_C1)/RT_H3_C1</f>
        <v>5.0867678958785252</v>
      </c>
      <c r="L60" s="47">
        <f ca="1"/>
        <v>877.15903813241903</v>
      </c>
      <c r="M60" s="54">
        <f ca="1">6.54+14.526*LN(N60/1000)+0.7389*LN(N60/1000)^2+0.09486*LN(N60/1000)^3+0.4569*(N60/1000)^0.1984</f>
        <v>3.1748790554449147</v>
      </c>
      <c r="N60" s="50">
        <f t="array" aca="1" ref="N60:N72" ca="1">IFERROR(((Pi_HR_1_H3_C1-Pe_H3_C1)/(Sd_T_H3_C1-$J$60))*$J$60:$J$72+Pe_H3_C1,NA())</f>
        <v>767.24078221156549</v>
      </c>
      <c r="O60" s="55">
        <f t="array" aca="1" ref="O60:O72" ca="1">IF(N60:N72&gt;=$L$60:$L$72,1,0)</f>
        <v>0</v>
      </c>
      <c r="P60" s="50">
        <f t="shared" ref="P60:P72" ca="1" si="116">IF(ISNA(S60),
_xlfn.FORECAST.LINEAR($J60,INDIRECT(V60),INDIRECT(W60)),S60)</f>
        <v>767.24078221156549</v>
      </c>
      <c r="Q60" s="214"/>
      <c r="R60" s="55">
        <f t="array" aca="1" ref="R60" ca="1">SUM(IF(ISNUMBER(S$60:S60),1,0))+IF($A60&gt;Capas_VN_C1,1,0)</f>
        <v>1</v>
      </c>
      <c r="S60" s="51">
        <f ca="1">IF(O60=1,$L60,Pe_H3_C1)</f>
        <v>767.24078221156549</v>
      </c>
      <c r="T60" s="51">
        <f t="shared" ref="T60:T72" ca="1" si="117">VLOOKUP($A61,R$60:S$72,2,FALSE)</f>
        <v>767.24078221156549</v>
      </c>
      <c r="U60" s="51">
        <f t="shared" ref="U60:U72" ca="1" si="118">INDEX($J$60:$J$72,MATCH(T60,S$60:S$72,0))</f>
        <v>0</v>
      </c>
      <c r="V60" s="48" t="str">
        <f t="shared" ref="V60:V72" ca="1" si="119">CONCATENATE(ADDRESS(ROW(T$60)-1+R60,COLUMN(T$60)),":",ADDRESS(ROW(T$60)+R60,COLUMN(T$60)))</f>
        <v>$T$60:$T$61</v>
      </c>
      <c r="W60" s="48" t="str">
        <f t="shared" ref="W60:W72" ca="1" si="120">CONCATENATE(ADDRESS(ROW(U$60)-1+R60,COLUMN(U$60)),":",ADDRESS(ROW(U$60)+R60,COLUMN(U$60)))</f>
        <v>$U$60:$U$61</v>
      </c>
      <c r="X60" s="54">
        <f ca="1">6.54+14.526*LN(Y60/1000)+0.7389*LN(Y60/1000)^2+0.09486*LN(Y60/1000)^3+0.4569*(Y60/1000)^0.1984</f>
        <v>3.1748790554449147</v>
      </c>
      <c r="Y60" s="50">
        <f t="array" aca="1" ref="Y60:Y72" ca="1">IFERROR(((Pi_HR_2_H3_C1-Pe_H3_C1)/(Sd_T_H3_C1-$J$60))*$J$60:$J$72+Pe_H3_C1,NA())</f>
        <v>767.24078221156549</v>
      </c>
      <c r="Z60" s="55">
        <f t="array" aca="1" ref="Z60:Z72" ca="1">IF(Y60:Y72&gt;=$L$60:$L$72,1,0)</f>
        <v>0</v>
      </c>
      <c r="AA60" s="55">
        <f t="array" aca="1" ref="AA60" ca="1">SUM(IF(ISNUMBER(AB$60:AB60),1,0))+IF($A60&gt;Capas_VN_C1,1,0)</f>
        <v>1</v>
      </c>
      <c r="AB60" s="51">
        <f ca="1">IF(Y60=1,$L60,Pe_H3_C1)</f>
        <v>767.24078221156549</v>
      </c>
      <c r="AC60" s="51">
        <f ca="1">VLOOKUP($A61,AA$60:AB$72,2,FALSE)</f>
        <v>767.24078221156549</v>
      </c>
      <c r="AD60" s="51">
        <f ca="1">INDEX($J$60:$J$72,MATCH(AC60,AB$60:AB$72,0))</f>
        <v>0</v>
      </c>
      <c r="AE60" s="48" t="str">
        <f ca="1">CONCATENATE(ADDRESS(ROW(AC$60)-1+AA60,COLUMN(AC$60)),":",ADDRESS(ROW(AC$60)+AA60,COLUMN(AC$60)))</f>
        <v>$AC$60:$AC$61</v>
      </c>
      <c r="AF60" s="48" t="str">
        <f ca="1">CONCATENATE(ADDRESS(ROW(AD$60)-1+AA60,COLUMN(AD$60)),":",ADDRESS(ROW(AD$60)+AA60,COLUMN(AD$60)))</f>
        <v>$AD$60:$AD$61</v>
      </c>
      <c r="AG60" s="50">
        <f t="shared" ref="AG60:AG72" ca="1" si="121">IF(ISNA(AB60),
_xlfn.FORECAST.LINEAR($J60,INDIRECT(AE60),INDIRECT(AF60)),AB60)</f>
        <v>767.24078221156549</v>
      </c>
      <c r="AH60" s="214" t="e">
        <f t="shared" ref="AH60:AH72" ca="1" si="122">IF(SLOPE(INDIRECT(AE60),INDIRECT(AF60))=SLOPE(INDIRECT(AE59),INDIRECT(AF59)),NA(),δ_0*(SLOPE(INDIRECT(AE60),INDIRECT(AF60))-SLOPE(INDIRECT(AE59),INDIRECT(AF59))))</f>
        <v>#REF!</v>
      </c>
      <c r="AI60" s="54">
        <f ca="1">6.54+14.526*LN(AJ60/1000)+0.7389*LN(AJ60/1000)^2+0.09486*LN(AJ60/1000)^3+0.4569*(AJ60/1000)^0.1984</f>
        <v>3.1748790554449147</v>
      </c>
      <c r="AJ60" s="50">
        <f t="array" aca="1" ref="AJ60:AJ72" ca="1">IFERROR(((Pi_HR_3_H3_C1-Pe_H3_C1)/(Sd_T_H3_C1-$J$60))*$J$60:$J$72+Pe_H3_C1,NA())</f>
        <v>767.24078221156549</v>
      </c>
      <c r="AK60" s="55">
        <f t="array" aca="1" ref="AK60:AK72" ca="1">IF(AJ60:AJ72&gt;=$L$60:$L$72,1,0)</f>
        <v>0</v>
      </c>
      <c r="AL60" s="55">
        <f t="array" aca="1" ref="AL60" ca="1">SUM(IF(ISNUMBER(AM$60:AM60),1,0))+IF($A60&gt;Capas_VN_C1,1,0)</f>
        <v>1</v>
      </c>
      <c r="AM60" s="51">
        <f ca="1">IF(AJ60=1,$L60,Pe_H3_C1)</f>
        <v>767.24078221156549</v>
      </c>
      <c r="AN60" s="51">
        <f ca="1">VLOOKUP($A61,AL$60:AM$72,2,FALSE)</f>
        <v>767.24078221156549</v>
      </c>
      <c r="AO60" s="51">
        <f ca="1">INDEX($J$60:$J$72,MATCH(AN60,AM$60:AM$72,0))</f>
        <v>0</v>
      </c>
      <c r="AP60" s="48" t="str">
        <f ca="1">CONCATENATE(ADDRESS(ROW(AN$60)-1+AL60,COLUMN(AN$60)),":",ADDRESS(ROW(AN$60)+AL60,COLUMN(AN$60)))</f>
        <v>$AN$60:$AN$61</v>
      </c>
      <c r="AQ60" s="48" t="str">
        <f ca="1">CONCATENATE(ADDRESS(ROW(AO$60)-1+AL60,COLUMN(AO$60)),":",ADDRESS(ROW(AO$60)+AL60,COLUMN(AO$60)))</f>
        <v>$AO$60:$AO$61</v>
      </c>
      <c r="AR60" s="50">
        <f t="shared" ref="AR60:AR72" ca="1" si="123">IF(ISNA(AM60),
_xlfn.FORECAST.LINEAR($J60,INDIRECT(AP60),INDIRECT(AQ60)),AM60)</f>
        <v>767.24078221156549</v>
      </c>
      <c r="AS60" s="214" t="e">
        <f t="shared" ref="AS60:AS72" ca="1" si="124">IF(SLOPE(INDIRECT(AP60),INDIRECT(AQ60))=SLOPE(INDIRECT(AP59),INDIRECT(AQ59)),NA(),δ_0*(SLOPE(INDIRECT(AP60),INDIRECT(AQ60))-SLOPE(INDIRECT(AP59),INDIRECT(AQ59))))</f>
        <v>#REF!</v>
      </c>
      <c r="AT60" s="54">
        <f ca="1">6.54+14.526*LN(AU60/1000)+0.7389*LN(AU60/1000)^2+0.09486*LN(AU60/1000)^3+0.4569*(AU60/1000)^0.1984</f>
        <v>3.1748790554449147</v>
      </c>
      <c r="AU60" s="50">
        <f t="array" aca="1" ref="AU60:AU72" ca="1">IFERROR(((Pi_HR_4_H3_C1-Pe_H3_C1)/(Sd_T_H3_C1-$J$60))*$J$60:$J$72+Pe_H3_C1,NA())</f>
        <v>767.24078221156549</v>
      </c>
      <c r="AV60" s="55">
        <f t="array" aca="1" ref="AV60:AV72" ca="1">IF(AU60:AU72&gt;=$L$60:$L$72,1,0)</f>
        <v>0</v>
      </c>
      <c r="AW60" s="55">
        <f t="array" aca="1" ref="AW60" ca="1">SUM(IF(ISNUMBER(AX$60:AX60),1,0))+IF($A60&gt;Capas_VN_C1,1,0)</f>
        <v>1</v>
      </c>
      <c r="AX60" s="50">
        <f ca="1">IF(AU60=1,$L60,Pe_H3_C1)</f>
        <v>767.24078221156549</v>
      </c>
      <c r="AY60" s="51">
        <f ca="1">VLOOKUP($A61,AW$60:AX$72,2,FALSE)</f>
        <v>767.24078221156549</v>
      </c>
      <c r="AZ60" s="51">
        <f t="shared" ref="AZ60:AZ72" ca="1" si="125">INDEX($J$60:$J$72,MATCH(AY60,$AX$60:$AX$72,0))</f>
        <v>0</v>
      </c>
      <c r="BA60" s="48" t="str">
        <f ca="1">CONCATENATE(ADDRESS(ROW(AY$60)-1+AW60,COLUMN(AY$60)),":",ADDRESS(ROW(AY$60)+AW60,COLUMN(AY$60)))</f>
        <v>$AY$60:$AY$61</v>
      </c>
      <c r="BB60" s="48" t="str">
        <f ca="1">CONCATENATE(ADDRESS(ROW(AZ$60)-1+AW60,COLUMN(AZ$60)),":",ADDRESS(ROW(AZ$60)+AW60,COLUMN(AZ$60)))</f>
        <v>$AZ$60:$AZ$61</v>
      </c>
      <c r="BC60" s="50">
        <f t="shared" ref="BC60:BC72" ca="1" si="126">IF(ISNA(AX60),
_xlfn.FORECAST.LINEAR($J60,INDIRECT(BA60),INDIRECT(BB60)),AX60)</f>
        <v>767.24078221156549</v>
      </c>
      <c r="BD60" s="214" t="e">
        <f t="shared" ref="BD60:BD72" ca="1" si="127">IF(SLOPE(INDIRECT(BA60),INDIRECT(BB60))=SLOPE(INDIRECT(BA59),INDIRECT(BB59)),NA(),δ_0*(SLOPE(INDIRECT(BA60),INDIRECT(BB60))-SLOPE(INDIRECT(BA59),INDIRECT(BB59))))</f>
        <v>#REF!</v>
      </c>
      <c r="BF60" s="43"/>
      <c r="BG60" s="15" t="s">
        <v>106</v>
      </c>
      <c r="BH60" s="44" t="s">
        <v>107</v>
      </c>
      <c r="BI60" s="48">
        <f>Rse_H3</f>
        <v>0.04</v>
      </c>
      <c r="BJ60" s="44" t="s">
        <v>107</v>
      </c>
      <c r="BK60" s="44" t="s">
        <v>107</v>
      </c>
      <c r="BL60" s="51">
        <v>0</v>
      </c>
      <c r="BM60" s="48">
        <f>IF(BG60="",NA(),SUM($BI$60:$BI60))</f>
        <v>0.04</v>
      </c>
      <c r="BN60" s="51">
        <v>0</v>
      </c>
      <c r="BO60" s="52">
        <f>IF(BN60="",NA(),SUM($BN$60:$BN60))</f>
        <v>0</v>
      </c>
      <c r="BP60" s="53" t="e">
        <f t="array" ref="BP60:BP72">ϴe_H3_C2+Rn_H3_C2*([0]!ϴi_C2-ϴe_H3_C2)/RT_H3_C2</f>
        <v>#NAME?</v>
      </c>
      <c r="BQ60" s="52" t="e">
        <v>#N/A</v>
      </c>
      <c r="BR60" s="54"/>
      <c r="BS60" s="50" t="e">
        <f t="array" aca="1" ref="BS60:BS72" ca="1">IFERROR(((Pi_HR_1_H3_C2-Pe_H3_C2)/(Sd_T_H3_C2-$BO$60))*$BO$60:$BO$72+Pe_H3_C2,NA())</f>
        <v>#N/A</v>
      </c>
      <c r="BT60" s="55" t="e">
        <f t="array" aca="1" ref="BT60:BT72" ca="1">IF(BS60:BS72&gt;=$BQ$60:$BQ$72,1,0)</f>
        <v>#N/A</v>
      </c>
      <c r="BU60" s="55">
        <f t="array" aca="1" ref="BU60" ca="1">SUM(IF(ISNUMBER(BV$60:BV60),1,0))+IF($BF60&gt;Capas_VN_C2,1,0)</f>
        <v>0</v>
      </c>
      <c r="BV60" s="51" t="e">
        <f ca="1">IF(BT60=1,$BQ60,Pe_H3_C2)</f>
        <v>#N/A</v>
      </c>
      <c r="BW60" s="51" t="e">
        <f ca="1">VLOOKUP($BF61,BU$60:BV$72,2,FALSE)</f>
        <v>#N/A</v>
      </c>
      <c r="BX60" s="51" t="e">
        <f ca="1">INDEX($BO$60:$BO$72,MATCH(BW60,BV$60:BV$72,0))</f>
        <v>#N/A</v>
      </c>
      <c r="BY60" s="48" t="str">
        <f ca="1">CONCATENATE(ADDRESS(ROW(BW$60)-1+BU60,COLUMN(BW$60)),":",ADDRESS(ROW(BW$60)+BU60,COLUMN(BW$60)))</f>
        <v>$BW$59:$BW$60</v>
      </c>
      <c r="BZ60" s="48" t="str">
        <f ca="1">CONCATENATE(ADDRESS(ROW(BX$60)-1+BU60,COLUMN(BX$60)),":",ADDRESS(ROW(BX$60)+BU60,COLUMN(BX$60)))</f>
        <v>$BX$59:$BX$60</v>
      </c>
      <c r="CA60" s="50" t="e">
        <f ca="1">IF(ISNA(BV60),
_xlfn.FORECAST.LINEAR($BO60,INDIRECT(BY60),INDIRECT(BZ60)),BV60)</f>
        <v>#N/A</v>
      </c>
      <c r="CB60" s="214" t="e">
        <f t="shared" ref="CB60:CB72" ca="1" si="128">IF(SLOPE(INDIRECT(BY60),INDIRECT(BZ60))=SLOPE(INDIRECT(BY59),INDIRECT(BZ59)),NA(),δ_0*(SLOPE(INDIRECT(BY60),INDIRECT(BZ60))-SLOPE(INDIRECT(BY59),INDIRECT(BZ59))))</f>
        <v>#N/A</v>
      </c>
      <c r="CC60" s="54"/>
      <c r="CD60" s="50" t="e">
        <f t="array" aca="1" ref="CD60:CD72" ca="1">IFERROR(((Pi_HR_2_H3_C2-Pe_H3_C2)/(Sd_T_H3_C2-$BO$60))*$BO$60:$BO$72+Pe_H3_C2,NA())</f>
        <v>#N/A</v>
      </c>
      <c r="CE60" s="55" t="e">
        <f t="array" aca="1" ref="CE60:CE72" ca="1">IF(CD60:CD72&gt;=$BQ$60:$BQ$72,1,0)</f>
        <v>#N/A</v>
      </c>
      <c r="CF60" s="55">
        <f t="array" aca="1" ref="CF60" ca="1">SUM(IF(ISNUMBER(CG$60:CG60),1,0))+IF($BF60&gt;Capas_VN_C2,1,0)</f>
        <v>0</v>
      </c>
      <c r="CG60" s="51" t="e">
        <f ca="1">IF(CE60=1,$BQ60,Pe_H3_C2)</f>
        <v>#N/A</v>
      </c>
      <c r="CH60" s="51" t="e">
        <f ca="1">VLOOKUP($BF61,CF$60:CG$72,2,FALSE)</f>
        <v>#N/A</v>
      </c>
      <c r="CI60" s="51" t="e">
        <f ca="1">INDEX($BO$60:$BO$72,MATCH(CH60,CG$60:CG$72,0))</f>
        <v>#N/A</v>
      </c>
      <c r="CJ60" s="48" t="str">
        <f ca="1">CONCATENATE(ADDRESS(ROW(CH$60)-1+CF60,COLUMN(CH$60)),":",ADDRESS(ROW(CH$60)+CF60,COLUMN(CH$60)))</f>
        <v>$CH$59:$CH$60</v>
      </c>
      <c r="CK60" s="48" t="str">
        <f ca="1">CONCATENATE(ADDRESS(ROW(CI$60)-1+CF60,COLUMN(CI$60)),":",ADDRESS(ROW(CI$60)+CF60,COLUMN(CI$60)))</f>
        <v>$CI$59:$CI$60</v>
      </c>
      <c r="CL60" s="50" t="e">
        <f ca="1">IF(ISNA(CG60),
_xlfn.FORECAST.LINEAR($BO60,INDIRECT(CJ60),INDIRECT(CK60)),CG60)</f>
        <v>#N/A</v>
      </c>
      <c r="CM60" s="214" t="e">
        <f t="shared" ref="CM60:CM72" ca="1" si="129">IF(SLOPE(INDIRECT(CJ60),INDIRECT(CK60))=SLOPE(INDIRECT(CJ59),INDIRECT(CK59)),NA(),δ_0*(SLOPE(INDIRECT(CJ60),INDIRECT(CK60))-SLOPE(INDIRECT(CJ59),INDIRECT(CK59))))</f>
        <v>#N/A</v>
      </c>
      <c r="CN60" s="54"/>
      <c r="CO60" s="50" t="e">
        <f t="array" aca="1" ref="CO60:CO72" ca="1">IFERROR(((Pi_HR_3_H3_C2-Pe_H3_C2)/(Sd_T_H3_C2-$BO$60))*$BO$60:$BO$72+Pe_H3_C2,NA())</f>
        <v>#N/A</v>
      </c>
      <c r="CP60" s="55" t="e">
        <f t="array" aca="1" ref="CP60:CP72" ca="1">IF(CO60:CO72&gt;=$BQ$60:$BQ$72,1,0)</f>
        <v>#N/A</v>
      </c>
      <c r="CQ60" s="55">
        <f t="array" aca="1" ref="CQ60" ca="1">SUM(IF(ISNUMBER(CR$60:CR60),1,0))+IF($BF60&gt;Capas_VN_C2,1,0)</f>
        <v>0</v>
      </c>
      <c r="CR60" s="51" t="e">
        <f ca="1">IF(CP60=1,$BQ60,Pe_H3_C2)</f>
        <v>#N/A</v>
      </c>
      <c r="CS60" s="51" t="e">
        <f ca="1">VLOOKUP($BF61,CQ$60:CR$72,2,FALSE)</f>
        <v>#N/A</v>
      </c>
      <c r="CT60" s="51" t="e">
        <f ca="1">INDEX($BO$60:$BO$72,MATCH(CS60,CR$60:CR$72,0))</f>
        <v>#N/A</v>
      </c>
      <c r="CU60" s="48" t="str">
        <f ca="1">CONCATENATE(ADDRESS(ROW(CS$60)-1+CQ60,COLUMN(CS$60)),":",ADDRESS(ROW(CS$60)+CQ60,COLUMN(CS$60)))</f>
        <v>$CS$59:$CS$60</v>
      </c>
      <c r="CV60" s="48" t="str">
        <f ca="1">CONCATENATE(ADDRESS(ROW(CT$60)-1+CQ60,COLUMN(CT$60)),":",ADDRESS(ROW(CT$60)+CQ60,COLUMN(CT$60)))</f>
        <v>$CT$59:$CT$60</v>
      </c>
      <c r="CW60" s="50" t="e">
        <f ca="1">IF(ISNA(CR60),
_xlfn.FORECAST.LINEAR($BO60,INDIRECT(CU60),INDIRECT(CV60)),CR60)</f>
        <v>#N/A</v>
      </c>
      <c r="CX60" s="214" t="e">
        <f t="shared" ref="CX60:CX72" ca="1" si="130">IF(SLOPE(INDIRECT(CU60),INDIRECT(CV60))=SLOPE(INDIRECT(CU59),INDIRECT(CV59)),NA(),δ_0*(SLOPE(INDIRECT(CU60),INDIRECT(CV60))-SLOPE(INDIRECT(CU59),INDIRECT(CV59))))</f>
        <v>#N/A</v>
      </c>
      <c r="CY60" s="54"/>
      <c r="CZ60" s="50" t="e">
        <f t="array" ref="CZ60:CZ72">IFERROR(((Pi_HR_4_H3_C2-Pe_H3_C2)/(Sd_T_H3_C2-$BO$60))*$BO$60:$BO$72+Pe_H3_C2,NA())</f>
        <v>#N/A</v>
      </c>
      <c r="DA60" s="55" t="e">
        <f t="array" ref="DA60:DA72">IF(CZ60:CZ72&gt;=$BQ$60:$BQ$72,1,0)</f>
        <v>#N/A</v>
      </c>
      <c r="DB60" s="55">
        <f t="array" ref="DB60">SUM(IF(ISNUMBER(DC$60:DC60),1,0))+IF($BF60&gt;Capas_VN_C2,1,0)</f>
        <v>0</v>
      </c>
      <c r="DC60" s="51" t="e">
        <f>IF(DA60=1,$BQ60,Pe_H3_C2)</f>
        <v>#N/A</v>
      </c>
      <c r="DD60" s="51" t="e">
        <f>VLOOKUP($BF61,DB$60:DC$72,2,FALSE)</f>
        <v>#N/A</v>
      </c>
      <c r="DE60" s="51" t="e">
        <f>INDEX($BO$60:$BO$72,MATCH(DD60,DC$60:DC$72,0))</f>
        <v>#N/A</v>
      </c>
      <c r="DF60" s="48" t="str">
        <f>CONCATENATE(ADDRESS(ROW(DD$60)-1+DB60,COLUMN(DD$60)),":",ADDRESS(ROW(DD$60)+DB60,COLUMN(DD$60)))</f>
        <v>$DD$59:$DD$60</v>
      </c>
      <c r="DG60" s="48" t="str">
        <f>CONCATENATE(ADDRESS(ROW(DE$60)-1+DB60,COLUMN(DE$60)),":",ADDRESS(ROW(DE$60)+DB60,COLUMN(DE$60)))</f>
        <v>$DE$59:$DE$60</v>
      </c>
      <c r="DH60" s="50" t="e">
        <f ca="1">IF(ISNA(DC60),
_xlfn.FORECAST.LINEAR($BO60,INDIRECT(DF60),INDIRECT(DG60)),DC60)</f>
        <v>#N/A</v>
      </c>
      <c r="DI60" s="214" t="e">
        <f t="shared" ref="DI60:DI72" ca="1" si="131">IF(SLOPE(INDIRECT(DF60),INDIRECT(DG60))=SLOPE(INDIRECT(DF59),INDIRECT(DG59)),NA(),δ_0*(SLOPE(INDIRECT(DF60),INDIRECT(DG60))-SLOPE(INDIRECT(DF59),INDIRECT(DG59))))</f>
        <v>#N/A</v>
      </c>
    </row>
    <row r="61" spans="1:113" x14ac:dyDescent="0.25">
      <c r="A61" s="43">
        <v>1</v>
      </c>
      <c r="B61" s="15" t="str">
        <f t="shared" ref="B61:B72" si="132">CHOOSE(IF(A61&lt;Capas_VN_C1,1,IF(A61=Capas_VN_C1,2,IF(A61=Capas_VN_C1+1,3,4))),"Interfase "&amp;A61,"Superficie interior","Interior",NA())</f>
        <v>Interfase 1</v>
      </c>
      <c r="C61" s="56">
        <v>0.01</v>
      </c>
      <c r="D61" s="48">
        <v>0.05</v>
      </c>
      <c r="E61" s="51">
        <v>500000</v>
      </c>
      <c r="F61" s="51" t="b">
        <v>0</v>
      </c>
      <c r="G61" s="56">
        <f>IF(OR(B61="",B61="Interior"),NA(),SUM($C$61:$C61))</f>
        <v>0.01</v>
      </c>
      <c r="H61" s="48">
        <f>IF(B61="",NA(),SUM($D$60:$D61))</f>
        <v>0.09</v>
      </c>
      <c r="I61" s="50">
        <f t="array" ref="I61:I72">IF($E$61:$E$72="Sd",VALUE(MID(VLOOKUP(Seccion2!lista_Materiales_C1,Materiales[],9,FALSE),5,LEN(VLOOKUP(Seccion2!lista_Materiales_C1,Materiales[],9,FALSE))-6)),IF($F$61:$F$72,0.01,IF($C$61:$C$72*$E$61:$E$72&gt;0,$C$61:$C$72*$E$61:$E$72,NA())))</f>
        <v>5000</v>
      </c>
      <c r="J61" s="52">
        <f>IF(I61="",NA(),SUM($I$60:$I61))</f>
        <v>5000</v>
      </c>
      <c r="K61" s="53">
        <f ca="1"/>
        <v>5.1952277657266812</v>
      </c>
      <c r="L61" s="47">
        <f ca="1"/>
        <v>883.81703048135057</v>
      </c>
      <c r="M61" s="54">
        <f t="shared" ref="M61:M72" ca="1" si="133">6.54+14.526*LN(N61/1000)+0.7389*LN(N61/1000)^2+0.09486*LN(N61/1000)^3+0.4569*(N61/1000)^0.1984</f>
        <v>9.6477355703057146</v>
      </c>
      <c r="N61" s="50">
        <f ca="1"/>
        <v>1196.8195856845666</v>
      </c>
      <c r="O61" s="55">
        <f ca="1"/>
        <v>1</v>
      </c>
      <c r="P61" s="50">
        <f t="shared" ca="1" si="116"/>
        <v>883.81703048135057</v>
      </c>
      <c r="Q61" s="214">
        <f ca="1">δ_0*(SLOPE(INDIRECT(V61),INDIRECT(W61))-SLOPE(INDIRECT(V60),INDIRECT(W60)))*86400*VLOOKUP($L$83,Aux!$AL$72:$AN$83,3,FALSE)</f>
        <v>1.9630051823005921E-4</v>
      </c>
      <c r="R61" s="55">
        <f t="array" aca="1" ref="R61" ca="1">SUM(IF(ISNUMBER(S$60:S61),1,0))+IF($A61&gt;Capas_VN_C1,1,0)</f>
        <v>2</v>
      </c>
      <c r="S61" s="51">
        <f t="shared" ref="S61:S72" ca="1" si="134">IF(O61=1,$L61,IF($B61="Superficie interior",Pi_HR_1_H3_C1,NA()))</f>
        <v>883.81703048135057</v>
      </c>
      <c r="T61" s="51">
        <f t="shared" ca="1" si="117"/>
        <v>883.81703048135057</v>
      </c>
      <c r="U61" s="51">
        <f t="shared" ca="1" si="118"/>
        <v>5000</v>
      </c>
      <c r="V61" s="48" t="str">
        <f t="shared" ca="1" si="119"/>
        <v>$T$61:$T$62</v>
      </c>
      <c r="W61" s="48" t="str">
        <f t="shared" ca="1" si="120"/>
        <v>$U$61:$U$62</v>
      </c>
      <c r="X61" s="54">
        <f t="shared" ref="X61:X72" ca="1" si="135">6.54+14.526*LN(Y61/1000)+0.7389*LN(Y61/1000)^2+0.09486*LN(Y61/1000)^3+0.4569*(Y61/1000)^0.1984</f>
        <v>13.890936963149366</v>
      </c>
      <c r="Y61" s="50">
        <f ca="1"/>
        <v>1584.3659601849649</v>
      </c>
      <c r="Z61" s="55">
        <f ca="1"/>
        <v>1</v>
      </c>
      <c r="AA61" s="55">
        <f t="array" aca="1" ref="AA61" ca="1">SUM(IF(ISNUMBER(AB$60:AB61),1,0))+IF($A61&gt;Capas_VN_C1,1,0)</f>
        <v>2</v>
      </c>
      <c r="AB61" s="51">
        <f t="shared" ref="AB61:AB72" ca="1" si="136">IF(Z61=1,$L61,IF($B61="Superficie interior",Pi_HR_2_H3_C1,NA()))</f>
        <v>883.81703048135057</v>
      </c>
      <c r="AC61" s="51">
        <f t="shared" ref="AC61:AC72" ca="1" si="137">VLOOKUP($A62,AA$60:AB$72,2,FALSE)</f>
        <v>883.81703048135057</v>
      </c>
      <c r="AD61" s="51">
        <f t="shared" ref="AD61:AD72" ca="1" si="138">INDEX($J$60:$J$72,MATCH(AC61,AB$60:AB$72,0))</f>
        <v>5000</v>
      </c>
      <c r="AE61" s="48" t="str">
        <f t="shared" ref="AE61:AE72" ca="1" si="139">CONCATENATE(ADDRESS(ROW(AC$60)-1+AA61,COLUMN(AC$60)),":",ADDRESS(ROW(AC$60)+AA61,COLUMN(AC$60)))</f>
        <v>$AC$61:$AC$62</v>
      </c>
      <c r="AF61" s="48" t="str">
        <f t="shared" ref="AF61:AF72" ca="1" si="140">CONCATENATE(ADDRESS(ROW(AD$60)-1+AA61,COLUMN(AD$60)),":",ADDRESS(ROW(AD$60)+AA61,COLUMN(AD$60)))</f>
        <v>$AD$61:$AD$62</v>
      </c>
      <c r="AG61" s="50">
        <f t="shared" ca="1" si="121"/>
        <v>883.81703048135057</v>
      </c>
      <c r="AH61" s="215">
        <f t="shared" ca="1" si="122"/>
        <v>6.5387718481002159E-9</v>
      </c>
      <c r="AI61" s="54">
        <f t="shared" ref="AI61:AI72" ca="1" si="141">6.54+14.526*LN(AJ61/1000)+0.7389*LN(AJ61/1000)^2+0.09486*LN(AJ61/1000)^3+0.4569*(AJ61/1000)^0.1984</f>
        <v>14.806080384949469</v>
      </c>
      <c r="AJ61" s="50">
        <f ca="1"/>
        <v>1681.2525538100645</v>
      </c>
      <c r="AK61" s="55">
        <f ca="1"/>
        <v>1</v>
      </c>
      <c r="AL61" s="55">
        <f t="array" aca="1" ref="AL61" ca="1">SUM(IF(ISNUMBER(AM$60:AM61),1,0))+IF($A61&gt;Capas_VN_C1,1,0)</f>
        <v>2</v>
      </c>
      <c r="AM61" s="51">
        <f t="shared" ref="AM61:AM72" ca="1" si="142">IF(AK61=1,$L61,IF($B61="Superficie interior",Pi_HR_3_H3_C1,NA()))</f>
        <v>883.81703048135057</v>
      </c>
      <c r="AN61" s="51">
        <f t="shared" ref="AN61:AN72" ca="1" si="143">VLOOKUP($A62,AL$60:AM$72,2,FALSE)</f>
        <v>883.81703048135057</v>
      </c>
      <c r="AO61" s="51">
        <f t="shared" ref="AO61:AO72" ca="1" si="144">INDEX($J$60:$J$72,MATCH(AN61,AM$60:AM$72,0))</f>
        <v>5000</v>
      </c>
      <c r="AP61" s="48" t="str">
        <f t="shared" ref="AP61:AP72" ca="1" si="145">CONCATENATE(ADDRESS(ROW(AN$60)-1+AL61,COLUMN(AN$60)),":",ADDRESS(ROW(AN$60)+AL61,COLUMN(AN$60)))</f>
        <v>$AN$61:$AN$62</v>
      </c>
      <c r="AQ61" s="48" t="str">
        <f t="shared" ref="AQ61:AQ72" ca="1" si="146">CONCATENATE(ADDRESS(ROW(AO$60)-1+AL61,COLUMN(AO$60)),":",ADDRESS(ROW(AO$60)+AL61,COLUMN(AO$60)))</f>
        <v>$AO$61:$AO$62</v>
      </c>
      <c r="AR61" s="50">
        <f t="shared" ca="1" si="123"/>
        <v>883.81703048135057</v>
      </c>
      <c r="AS61" s="215">
        <f t="shared" ca="1" si="124"/>
        <v>6.5387718481002159E-9</v>
      </c>
      <c r="AT61" s="54">
        <f t="shared" ref="AT61:AT72" ca="1" si="147">6.54+14.526*LN(AU61/1000)+0.7389*LN(AU61/1000)^2+0.09486*LN(AU61/1000)^3+0.4569*(AU61/1000)^0.1984</f>
        <v>-20.417071553927762</v>
      </c>
      <c r="AU61" s="50">
        <f ca="1"/>
        <v>131.06705580847108</v>
      </c>
      <c r="AV61" s="55">
        <f ca="1"/>
        <v>0</v>
      </c>
      <c r="AW61" s="55">
        <f t="array" aca="1" ref="AW61" ca="1">SUM(IF(ISNUMBER(AX$60:AX61),1,0))+IF($A61&gt;Capas_VN_C1,1,0)</f>
        <v>1</v>
      </c>
      <c r="AX61" s="50" t="e">
        <f t="shared" ref="AX61:AX72" ca="1" si="148">IF(AV61=1,$L61,IF($B61="Superficie interior",Pi_HR_4_H3_C1,NA()))</f>
        <v>#N/A</v>
      </c>
      <c r="AY61" s="51">
        <f t="shared" ref="AY61:AY72" ca="1" si="149">VLOOKUP($A62,AW$60:AX$72,2,FALSE)</f>
        <v>0</v>
      </c>
      <c r="AZ61" s="51">
        <f t="shared" ca="1" si="125"/>
        <v>6030.12</v>
      </c>
      <c r="BA61" s="48" t="str">
        <f t="shared" ref="BA61:BA72" ca="1" si="150">CONCATENATE(ADDRESS(ROW(AY$60)-1+AW61,COLUMN(AY$60)),":",ADDRESS(ROW(AY$60)+AW61,COLUMN(AY$60)))</f>
        <v>$AY$60:$AY$61</v>
      </c>
      <c r="BB61" s="48" t="str">
        <f t="shared" ref="BB61:BB72" ca="1" si="151">CONCATENATE(ADDRESS(ROW(AZ$60)-1+AW61,COLUMN(AZ$60)),":",ADDRESS(ROW(AZ$60)+AW61,COLUMN(AZ$60)))</f>
        <v>$AZ$60:$AZ$61</v>
      </c>
      <c r="BC61" s="50">
        <f t="shared" ca="1" si="126"/>
        <v>131.06705580847108</v>
      </c>
      <c r="BD61" s="215" t="e">
        <f t="shared" ca="1" si="127"/>
        <v>#N/A</v>
      </c>
      <c r="BF61" s="43">
        <v>1</v>
      </c>
      <c r="BG61" s="15" t="str">
        <f t="shared" ref="BG61:BG72" si="152">CHOOSE(IF(BF61&lt;Capas_VN_C2,1,IF(BF61=Capas_VN_C2,2,IF(BF61=Capas_VN_C2+1,3,4))),"Interfase "&amp;BF61,"Superficie interior","Interior",NA())</f>
        <v>Superficie interior</v>
      </c>
      <c r="BH61" s="56" t="e">
        <f t="array" ref="BH61:BH72">IF(#REF!&gt;0,#REF!,NA())</f>
        <v>#REF!</v>
      </c>
      <c r="BI61" s="48" t="e">
        <f t="array" ref="BI61:BI72">IF(BG61:BG72="Interior",Rsi_H3,#REF!)</f>
        <v>#REF!</v>
      </c>
      <c r="BJ61" s="51" t="e">
        <f t="array" ref="BJ61:BJ72">IF(#REF!&gt;0,#REF!,NA())</f>
        <v>#REF!</v>
      </c>
      <c r="BK61" s="51" t="e">
        <f t="array" ref="BK61:BK72">IF(ISBLANK(#REF!),NA(),IF(#REF!=Aux!$AK$7,TRUE,FALSE))</f>
        <v>#REF!</v>
      </c>
      <c r="BL61" s="56" t="e">
        <f>IF(OR(BH61="",BH61="Interior"),NA(),SUM($BH$61:$BH61))</f>
        <v>#REF!</v>
      </c>
      <c r="BM61" s="48" t="e">
        <f>IF(BG61="",NA(),SUM($BI$60:$BI61))</f>
        <v>#REF!</v>
      </c>
      <c r="BN61" s="50" t="e">
        <f t="array" ref="BN61:BN72">IF(d_VN_C2*μ_H3_C2&gt;0,IF(verif_aire_H3_C2,0.01,d_VN_C2*μ_H3_C2),NA())</f>
        <v>#REF!</v>
      </c>
      <c r="BO61" s="52" t="e">
        <f>IF(BN61="",NA(),SUM($BN$60:$BN61))</f>
        <v>#REF!</v>
      </c>
      <c r="BP61" s="53" t="e">
        <v>#REF!</v>
      </c>
      <c r="BQ61" s="52" t="e">
        <v>#N/A</v>
      </c>
      <c r="BR61" s="54"/>
      <c r="BS61" s="50" t="e">
        <f ca="1"/>
        <v>#N/A</v>
      </c>
      <c r="BT61" s="55" t="e">
        <f ca="1"/>
        <v>#N/A</v>
      </c>
      <c r="BU61" s="55">
        <f t="array" aca="1" ref="BU61" ca="1">SUM(IF(ISNUMBER(BV$60:BV61),1,0))+IF($BF61&gt;Capas_VN_C2,1,0)</f>
        <v>0</v>
      </c>
      <c r="BV61" s="51" t="e">
        <f t="shared" ref="BV61:BV72" ca="1" si="153">IF(BT61=1,$BQ61,IF($BG61="Superficie interior",Pi_HR_1_H3_C2,NA()))</f>
        <v>#N/A</v>
      </c>
      <c r="BW61" s="51" t="e">
        <f t="shared" ref="BW61:BW72" ca="1" si="154">VLOOKUP($BF62,BU$60:BV$72,2,FALSE)</f>
        <v>#N/A</v>
      </c>
      <c r="BX61" s="51" t="e">
        <f t="shared" ref="BX61:BX72" ca="1" si="155">INDEX($BO$60:$BO$72,MATCH(BW61,BV$60:BV$72,0))</f>
        <v>#N/A</v>
      </c>
      <c r="BY61" s="48" t="str">
        <f t="shared" ref="BY61:BY72" ca="1" si="156">CONCATENATE(ADDRESS(ROW(BW$60)-1+BU61,COLUMN(BW$60)),":",ADDRESS(ROW(BW$60)+BU61,COLUMN(BW$60)))</f>
        <v>$BW$59:$BW$60</v>
      </c>
      <c r="BZ61" s="48" t="str">
        <f t="shared" ref="BZ61:BZ72" ca="1" si="157">CONCATENATE(ADDRESS(ROW(BX$60)-1+BU61,COLUMN(BX$60)),":",ADDRESS(ROW(BX$60)+BU61,COLUMN(BX$60)))</f>
        <v>$BX$59:$BX$60</v>
      </c>
      <c r="CA61" s="50" t="e">
        <f t="shared" ref="CA61:CA72" ca="1" si="158">IF(ISNA(BV61),
_xlfn.FORECAST.LINEAR($BO61,INDIRECT(BY61),INDIRECT(BZ61)),BV61)</f>
        <v>#REF!</v>
      </c>
      <c r="CB61" s="215" t="e">
        <f t="shared" ca="1" si="128"/>
        <v>#N/A</v>
      </c>
      <c r="CC61" s="54"/>
      <c r="CD61" s="50" t="e">
        <f ca="1"/>
        <v>#N/A</v>
      </c>
      <c r="CE61" s="55" t="e">
        <f ca="1"/>
        <v>#N/A</v>
      </c>
      <c r="CF61" s="55">
        <f t="array" aca="1" ref="CF61" ca="1">SUM(IF(ISNUMBER(CG$60:CG61),1,0))+IF($BF61&gt;Capas_VN_C2,1,0)</f>
        <v>0</v>
      </c>
      <c r="CG61" s="51" t="e">
        <f t="shared" ref="CG61:CG72" ca="1" si="159">IF(CE61=1,$BQ61,IF($BG61="Superficie interior",Pi_HR_2_H3_C2,NA()))</f>
        <v>#N/A</v>
      </c>
      <c r="CH61" s="51" t="e">
        <f t="shared" ref="CH61:CH72" ca="1" si="160">VLOOKUP($BF62,CF$60:CG$72,2,FALSE)</f>
        <v>#N/A</v>
      </c>
      <c r="CI61" s="51" t="e">
        <f t="shared" ref="CI61:CI72" ca="1" si="161">INDEX($BO$60:$BO$72,MATCH(CH61,CG$60:CG$72,0))</f>
        <v>#N/A</v>
      </c>
      <c r="CJ61" s="48" t="str">
        <f t="shared" ref="CJ61:CJ72" ca="1" si="162">CONCATENATE(ADDRESS(ROW(CH$60)-1+CF61,COLUMN(CH$60)),":",ADDRESS(ROW(CH$60)+CF61,COLUMN(CH$60)))</f>
        <v>$CH$59:$CH$60</v>
      </c>
      <c r="CK61" s="48" t="str">
        <f t="shared" ref="CK61:CK72" ca="1" si="163">CONCATENATE(ADDRESS(ROW(CI$60)-1+CF61,COLUMN(CI$60)),":",ADDRESS(ROW(CI$60)+CF61,COLUMN(CI$60)))</f>
        <v>$CI$59:$CI$60</v>
      </c>
      <c r="CL61" s="50" t="e">
        <f t="shared" ref="CL61:CL72" ca="1" si="164">IF(ISNA(CG61),
_xlfn.FORECAST.LINEAR($BO61,INDIRECT(CJ61),INDIRECT(CK61)),CG61)</f>
        <v>#REF!</v>
      </c>
      <c r="CM61" s="215" t="e">
        <f t="shared" ca="1" si="129"/>
        <v>#N/A</v>
      </c>
      <c r="CN61" s="54"/>
      <c r="CO61" s="50" t="e">
        <f ca="1"/>
        <v>#N/A</v>
      </c>
      <c r="CP61" s="55" t="e">
        <f ca="1"/>
        <v>#N/A</v>
      </c>
      <c r="CQ61" s="55">
        <f t="array" aca="1" ref="CQ61" ca="1">SUM(IF(ISNUMBER(CR$60:CR61),1,0))+IF($BF61&gt;Capas_VN_C2,1,0)</f>
        <v>0</v>
      </c>
      <c r="CR61" s="51" t="e">
        <f t="shared" ref="CR61:CR72" ca="1" si="165">IF(CP61=1,$BQ61,IF($BG61="Superficie interior",Pi_HR_3_H3_C2,NA()))</f>
        <v>#N/A</v>
      </c>
      <c r="CS61" s="51" t="e">
        <f t="shared" ref="CS61:CS72" ca="1" si="166">VLOOKUP($BF62,CQ$60:CR$72,2,FALSE)</f>
        <v>#N/A</v>
      </c>
      <c r="CT61" s="51" t="e">
        <f t="shared" ref="CT61:CT72" ca="1" si="167">INDEX($BO$60:$BO$72,MATCH(CS61,CR$60:CR$72,0))</f>
        <v>#N/A</v>
      </c>
      <c r="CU61" s="48" t="str">
        <f t="shared" ref="CU61:CU72" ca="1" si="168">CONCATENATE(ADDRESS(ROW(CS$60)-1+CQ61,COLUMN(CS$60)),":",ADDRESS(ROW(CS$60)+CQ61,COLUMN(CS$60)))</f>
        <v>$CS$59:$CS$60</v>
      </c>
      <c r="CV61" s="48" t="str">
        <f t="shared" ref="CV61:CV72" ca="1" si="169">CONCATENATE(ADDRESS(ROW(CT$60)-1+CQ61,COLUMN(CT$60)),":",ADDRESS(ROW(CT$60)+CQ61,COLUMN(CT$60)))</f>
        <v>$CT$59:$CT$60</v>
      </c>
      <c r="CW61" s="50" t="e">
        <f t="shared" ref="CW61:CW72" ca="1" si="170">IF(ISNA(CR61),
_xlfn.FORECAST.LINEAR($BO61,INDIRECT(CU61),INDIRECT(CV61)),CR61)</f>
        <v>#REF!</v>
      </c>
      <c r="CX61" s="215" t="e">
        <f t="shared" ca="1" si="130"/>
        <v>#N/A</v>
      </c>
      <c r="CY61" s="54"/>
      <c r="CZ61" s="50" t="e">
        <v>#N/A</v>
      </c>
      <c r="DA61" s="55" t="e">
        <v>#N/A</v>
      </c>
      <c r="DB61" s="55">
        <f t="array" ref="DB61">SUM(IF(ISNUMBER(DC$60:DC61),1,0))+IF($BF61&gt;Capas_VN_C2,1,0)</f>
        <v>0</v>
      </c>
      <c r="DC61" s="51" t="e">
        <f t="shared" ref="DC61:DC72" si="171">IF(DA61=1,$BQ61,IF($BG61="Superficie interior",Pi_HR_4_H3_C2,NA()))</f>
        <v>#N/A</v>
      </c>
      <c r="DD61" s="51" t="e">
        <f t="shared" ref="DD61:DD72" si="172">VLOOKUP($BF62,DB$60:DC$72,2,FALSE)</f>
        <v>#N/A</v>
      </c>
      <c r="DE61" s="51" t="e">
        <f t="shared" ref="DE61:DE72" si="173">INDEX($BO$60:$BO$72,MATCH(DD61,DC$60:DC$72,0))</f>
        <v>#N/A</v>
      </c>
      <c r="DF61" s="48" t="str">
        <f t="shared" ref="DF61:DF72" si="174">CONCATENATE(ADDRESS(ROW(DD$60)-1+DB61,COLUMN(DD$60)),":",ADDRESS(ROW(DD$60)+DB61,COLUMN(DD$60)))</f>
        <v>$DD$59:$DD$60</v>
      </c>
      <c r="DG61" s="48" t="str">
        <f t="shared" ref="DG61:DG72" si="175">CONCATENATE(ADDRESS(ROW(DE$60)-1+DB61,COLUMN(DE$60)),":",ADDRESS(ROW(DE$60)+DB61,COLUMN(DE$60)))</f>
        <v>$DE$59:$DE$60</v>
      </c>
      <c r="DH61" s="50" t="e">
        <f t="shared" ref="DH61:DH72" ca="1" si="176">IF(ISNA(DC61),
_xlfn.FORECAST.LINEAR($BO61,INDIRECT(DF61),INDIRECT(DG61)),DC61)</f>
        <v>#REF!</v>
      </c>
      <c r="DI61" s="215" t="e">
        <f t="shared" ca="1" si="131"/>
        <v>#N/A</v>
      </c>
    </row>
    <row r="62" spans="1:113" x14ac:dyDescent="0.25">
      <c r="A62" s="43">
        <v>2</v>
      </c>
      <c r="B62" s="15" t="str">
        <f t="shared" si="132"/>
        <v>Interfase 2</v>
      </c>
      <c r="C62" s="56">
        <v>0.1</v>
      </c>
      <c r="D62" s="48">
        <v>3</v>
      </c>
      <c r="E62" s="51">
        <v>150</v>
      </c>
      <c r="F62" s="51" t="b">
        <v>0</v>
      </c>
      <c r="G62" s="56">
        <f>IF(OR(B62="",B62="Interior"),NA(),SUM($C$61:$C62))</f>
        <v>0.11</v>
      </c>
      <c r="H62" s="48">
        <f>IF(B62="",NA(),SUM($D$60:$D62))</f>
        <v>3.09</v>
      </c>
      <c r="I62" s="50">
        <v>15</v>
      </c>
      <c r="J62" s="52">
        <f>IF(I62="",NA(),SUM($I$60:$I62))</f>
        <v>5015</v>
      </c>
      <c r="K62" s="53">
        <f ca="1"/>
        <v>11.70281995661605</v>
      </c>
      <c r="L62" s="47">
        <f ca="1"/>
        <v>1374.574647833676</v>
      </c>
      <c r="M62" s="54">
        <f t="shared" ca="1" si="133"/>
        <v>9.6637664267474968</v>
      </c>
      <c r="N62" s="50">
        <f ca="1"/>
        <v>1198.1083220949856</v>
      </c>
      <c r="O62" s="55">
        <f ca="1"/>
        <v>0</v>
      </c>
      <c r="P62" s="50">
        <f t="shared" ca="1" si="116"/>
        <v>889.66352552964554</v>
      </c>
      <c r="Q62" s="214">
        <f t="shared" ref="Q62:Q63" ca="1" si="177">δ_0*(SLOPE(INDIRECT(V62),INDIRECT(W62))-SLOPE(INDIRECT(V61),INDIRECT(W61)))</f>
        <v>0</v>
      </c>
      <c r="R62" s="55">
        <f t="array" aca="1" ref="R62" ca="1">SUM(IF(ISNUMBER(S$60:S62),1,0))+IF($A62&gt;Capas_VN_C1,1,0)</f>
        <v>2</v>
      </c>
      <c r="S62" s="51" t="e">
        <f t="shared" ca="1" si="134"/>
        <v>#N/A</v>
      </c>
      <c r="T62" s="51">
        <f t="shared" ca="1" si="117"/>
        <v>1285.3231290912881</v>
      </c>
      <c r="U62" s="51">
        <f t="shared" ca="1" si="118"/>
        <v>6030.12</v>
      </c>
      <c r="V62" s="48" t="str">
        <f t="shared" ca="1" si="119"/>
        <v>$T$61:$T$62</v>
      </c>
      <c r="W62" s="48" t="str">
        <f t="shared" ca="1" si="120"/>
        <v>$U$61:$U$62</v>
      </c>
      <c r="X62" s="54">
        <f t="shared" ca="1" si="135"/>
        <v>13.914694844033331</v>
      </c>
      <c r="Y62" s="50">
        <f ca="1"/>
        <v>1586.8173357188848</v>
      </c>
      <c r="Z62" s="55">
        <f ca="1"/>
        <v>1</v>
      </c>
      <c r="AA62" s="55">
        <f t="array" aca="1" ref="AA62" ca="1">SUM(IF(ISNUMBER(AB$60:AB62),1,0))+IF($A62&gt;Capas_VN_C1,1,0)</f>
        <v>3</v>
      </c>
      <c r="AB62" s="51">
        <f t="shared" ca="1" si="136"/>
        <v>1374.574647833676</v>
      </c>
      <c r="AC62" s="51">
        <f t="shared" ca="1" si="137"/>
        <v>1374.574647833676</v>
      </c>
      <c r="AD62" s="51">
        <f t="shared" ca="1" si="138"/>
        <v>5015</v>
      </c>
      <c r="AE62" s="48" t="str">
        <f t="shared" ca="1" si="139"/>
        <v>$AC$62:$AC$63</v>
      </c>
      <c r="AF62" s="48" t="str">
        <f t="shared" ca="1" si="140"/>
        <v>$AD$62:$AD$63</v>
      </c>
      <c r="AG62" s="50">
        <f t="shared" ca="1" si="121"/>
        <v>1374.574647833676</v>
      </c>
      <c r="AH62" s="214" t="e">
        <f t="shared" ca="1" si="122"/>
        <v>#DIV/0!</v>
      </c>
      <c r="AI62" s="54">
        <f t="shared" ca="1" si="141"/>
        <v>14.831294738353249</v>
      </c>
      <c r="AJ62" s="50">
        <f ca="1"/>
        <v>1683.9945891248599</v>
      </c>
      <c r="AK62" s="55">
        <f ca="1"/>
        <v>1</v>
      </c>
      <c r="AL62" s="55">
        <f t="array" aca="1" ref="AL62" ca="1">SUM(IF(ISNUMBER(AM$60:AM62),1,0))+IF($A62&gt;Capas_VN_C1,1,0)</f>
        <v>3</v>
      </c>
      <c r="AM62" s="51">
        <f t="shared" ca="1" si="142"/>
        <v>1374.574647833676</v>
      </c>
      <c r="AN62" s="51">
        <f t="shared" ca="1" si="143"/>
        <v>1374.574647833676</v>
      </c>
      <c r="AO62" s="51">
        <f t="shared" ca="1" si="144"/>
        <v>5015</v>
      </c>
      <c r="AP62" s="48" t="str">
        <f t="shared" ca="1" si="145"/>
        <v>$AN$62:$AN$63</v>
      </c>
      <c r="AQ62" s="48" t="str">
        <f t="shared" ca="1" si="146"/>
        <v>$AO$62:$AO$63</v>
      </c>
      <c r="AR62" s="50">
        <f t="shared" ca="1" si="123"/>
        <v>1374.574647833676</v>
      </c>
      <c r="AS62" s="214" t="e">
        <f t="shared" ca="1" si="124"/>
        <v>#DIV/0!</v>
      </c>
      <c r="AT62" s="54">
        <f t="shared" ca="1" si="147"/>
        <v>-20.604186666950529</v>
      </c>
      <c r="AU62" s="50">
        <f ca="1"/>
        <v>129.15853462926179</v>
      </c>
      <c r="AV62" s="55">
        <f ca="1"/>
        <v>0</v>
      </c>
      <c r="AW62" s="55">
        <f t="array" aca="1" ref="AW62" ca="1">SUM(IF(ISNUMBER(AX$60:AX62),1,0))+IF($A62&gt;Capas_VN_C1,1,0)</f>
        <v>1</v>
      </c>
      <c r="AX62" s="50" t="e">
        <f t="shared" ca="1" si="148"/>
        <v>#N/A</v>
      </c>
      <c r="AY62" s="51" t="e">
        <f t="shared" ca="1" si="149"/>
        <v>#N/A</v>
      </c>
      <c r="AZ62" s="51" t="e">
        <f t="shared" ca="1" si="125"/>
        <v>#N/A</v>
      </c>
      <c r="BA62" s="48" t="str">
        <f t="shared" ca="1" si="150"/>
        <v>$AY$60:$AY$61</v>
      </c>
      <c r="BB62" s="48" t="str">
        <f t="shared" ca="1" si="151"/>
        <v>$AZ$60:$AZ$61</v>
      </c>
      <c r="BC62" s="50">
        <f t="shared" ca="1" si="126"/>
        <v>129.15853462926179</v>
      </c>
      <c r="BD62" s="214" t="e">
        <f t="shared" ca="1" si="127"/>
        <v>#N/A</v>
      </c>
      <c r="BF62" s="43">
        <v>2</v>
      </c>
      <c r="BG62" s="15" t="str">
        <f t="shared" si="152"/>
        <v>Interior</v>
      </c>
      <c r="BH62" s="56" t="e">
        <v>#REF!</v>
      </c>
      <c r="BI62" s="48">
        <v>0.13</v>
      </c>
      <c r="BJ62" s="51" t="e">
        <v>#REF!</v>
      </c>
      <c r="BK62" s="51" t="e">
        <v>#REF!</v>
      </c>
      <c r="BL62" s="56" t="e">
        <f>IF(OR(BH62="",BH62="Interior"),NA(),SUM($BH$61:$BH62))</f>
        <v>#REF!</v>
      </c>
      <c r="BM62" s="48" t="e">
        <f>IF(BG62="",NA(),SUM($BI$60:$BI62))</f>
        <v>#REF!</v>
      </c>
      <c r="BN62" s="50" t="e">
        <v>#REF!</v>
      </c>
      <c r="BO62" s="52" t="e">
        <f>IF(BN62="",NA(),SUM($BN$60:$BN62))</f>
        <v>#REF!</v>
      </c>
      <c r="BP62" s="53" t="e">
        <v>#REF!</v>
      </c>
      <c r="BQ62" s="52" t="e">
        <v>#N/A</v>
      </c>
      <c r="BR62" s="54"/>
      <c r="BS62" s="50" t="e">
        <f ca="1"/>
        <v>#N/A</v>
      </c>
      <c r="BT62" s="55" t="e">
        <f ca="1"/>
        <v>#N/A</v>
      </c>
      <c r="BU62" s="55">
        <f t="array" aca="1" ref="BU62" ca="1">SUM(IF(ISNUMBER(BV$60:BV62),1,0))+IF($BF62&gt;Capas_VN_C2,1,0)</f>
        <v>1</v>
      </c>
      <c r="BV62" s="51" t="e">
        <f t="shared" ca="1" si="153"/>
        <v>#N/A</v>
      </c>
      <c r="BW62" s="51" t="e">
        <f t="shared" ca="1" si="154"/>
        <v>#N/A</v>
      </c>
      <c r="BX62" s="51" t="e">
        <f t="shared" ca="1" si="155"/>
        <v>#N/A</v>
      </c>
      <c r="BY62" s="48" t="str">
        <f t="shared" ca="1" si="156"/>
        <v>$BW$60:$BW$61</v>
      </c>
      <c r="BZ62" s="48" t="str">
        <f t="shared" ca="1" si="157"/>
        <v>$BX$60:$BX$61</v>
      </c>
      <c r="CA62" s="50" t="e">
        <f t="shared" ca="1" si="158"/>
        <v>#REF!</v>
      </c>
      <c r="CB62" s="214" t="e">
        <f t="shared" ca="1" si="128"/>
        <v>#N/A</v>
      </c>
      <c r="CC62" s="54"/>
      <c r="CD62" s="50" t="e">
        <f ca="1"/>
        <v>#N/A</v>
      </c>
      <c r="CE62" s="55" t="e">
        <f ca="1"/>
        <v>#N/A</v>
      </c>
      <c r="CF62" s="55">
        <f t="array" aca="1" ref="CF62" ca="1">SUM(IF(ISNUMBER(CG$60:CG62),1,0))+IF($BF62&gt;Capas_VN_C2,1,0)</f>
        <v>1</v>
      </c>
      <c r="CG62" s="51" t="e">
        <f t="shared" ca="1" si="159"/>
        <v>#N/A</v>
      </c>
      <c r="CH62" s="51" t="e">
        <f t="shared" ca="1" si="160"/>
        <v>#N/A</v>
      </c>
      <c r="CI62" s="51" t="e">
        <f t="shared" ca="1" si="161"/>
        <v>#N/A</v>
      </c>
      <c r="CJ62" s="48" t="str">
        <f t="shared" ca="1" si="162"/>
        <v>$CH$60:$CH$61</v>
      </c>
      <c r="CK62" s="48" t="str">
        <f t="shared" ca="1" si="163"/>
        <v>$CI$60:$CI$61</v>
      </c>
      <c r="CL62" s="50" t="e">
        <f t="shared" ca="1" si="164"/>
        <v>#REF!</v>
      </c>
      <c r="CM62" s="214" t="e">
        <f t="shared" ca="1" si="129"/>
        <v>#N/A</v>
      </c>
      <c r="CN62" s="54"/>
      <c r="CO62" s="50" t="e">
        <f ca="1"/>
        <v>#N/A</v>
      </c>
      <c r="CP62" s="55" t="e">
        <f ca="1"/>
        <v>#N/A</v>
      </c>
      <c r="CQ62" s="55">
        <f t="array" aca="1" ref="CQ62" ca="1">SUM(IF(ISNUMBER(CR$60:CR62),1,0))+IF($BF62&gt;Capas_VN_C2,1,0)</f>
        <v>1</v>
      </c>
      <c r="CR62" s="51" t="e">
        <f t="shared" ca="1" si="165"/>
        <v>#N/A</v>
      </c>
      <c r="CS62" s="51" t="e">
        <f t="shared" ca="1" si="166"/>
        <v>#N/A</v>
      </c>
      <c r="CT62" s="51" t="e">
        <f t="shared" ca="1" si="167"/>
        <v>#N/A</v>
      </c>
      <c r="CU62" s="48" t="str">
        <f t="shared" ca="1" si="168"/>
        <v>$CS$60:$CS$61</v>
      </c>
      <c r="CV62" s="48" t="str">
        <f t="shared" ca="1" si="169"/>
        <v>$CT$60:$CT$61</v>
      </c>
      <c r="CW62" s="50" t="e">
        <f t="shared" ca="1" si="170"/>
        <v>#REF!</v>
      </c>
      <c r="CX62" s="214" t="e">
        <f t="shared" ca="1" si="130"/>
        <v>#N/A</v>
      </c>
      <c r="CY62" s="54"/>
      <c r="CZ62" s="50" t="e">
        <v>#N/A</v>
      </c>
      <c r="DA62" s="55" t="e">
        <v>#N/A</v>
      </c>
      <c r="DB62" s="55">
        <f t="array" ref="DB62">SUM(IF(ISNUMBER(DC$60:DC62),1,0))+IF($BF62&gt;Capas_VN_C2,1,0)</f>
        <v>1</v>
      </c>
      <c r="DC62" s="51" t="e">
        <f t="shared" si="171"/>
        <v>#N/A</v>
      </c>
      <c r="DD62" s="51" t="e">
        <f t="shared" si="172"/>
        <v>#N/A</v>
      </c>
      <c r="DE62" s="51" t="e">
        <f t="shared" si="173"/>
        <v>#N/A</v>
      </c>
      <c r="DF62" s="48" t="str">
        <f t="shared" si="174"/>
        <v>$DD$60:$DD$61</v>
      </c>
      <c r="DG62" s="48" t="str">
        <f t="shared" si="175"/>
        <v>$DE$60:$DE$61</v>
      </c>
      <c r="DH62" s="50" t="e">
        <f t="shared" ca="1" si="176"/>
        <v>#REF!</v>
      </c>
      <c r="DI62" s="214" t="e">
        <f t="shared" ca="1" si="131"/>
        <v>#N/A</v>
      </c>
    </row>
    <row r="63" spans="1:113" x14ac:dyDescent="0.25">
      <c r="A63" s="43">
        <v>3</v>
      </c>
      <c r="B63" s="15" t="str">
        <f t="shared" si="132"/>
        <v>Interfase 3</v>
      </c>
      <c r="C63" s="56">
        <v>1E-3</v>
      </c>
      <c r="D63" s="48">
        <v>0</v>
      </c>
      <c r="E63" s="51">
        <v>1000000</v>
      </c>
      <c r="F63" s="51" t="b">
        <v>0</v>
      </c>
      <c r="G63" s="56">
        <f>IF(OR(B63="",B63="Interior"),NA(),SUM($C$61:$C63))</f>
        <v>0.111</v>
      </c>
      <c r="H63" s="48">
        <f>IF(B63="",NA(),SUM($D$60:$D63))</f>
        <v>3.09</v>
      </c>
      <c r="I63" s="50">
        <v>1000</v>
      </c>
      <c r="J63" s="52">
        <f>IF(I63="",NA(),SUM($I$60:$I63))</f>
        <v>6015</v>
      </c>
      <c r="K63" s="53">
        <f ca="1"/>
        <v>11.70281995661605</v>
      </c>
      <c r="L63" s="47">
        <f ca="1"/>
        <v>1374.574647833676</v>
      </c>
      <c r="M63" s="54">
        <f t="shared" ca="1" si="133"/>
        <v>10.699281518103721</v>
      </c>
      <c r="N63" s="50">
        <f ca="1"/>
        <v>1284.0240827895859</v>
      </c>
      <c r="O63" s="55">
        <f ca="1"/>
        <v>0</v>
      </c>
      <c r="P63" s="50">
        <f ca="1">IF(ISNA(S63),
_xlfn.FORECAST.LINEAR($J63,INDIRECT(V63),INDIRECT(W63)),S63)</f>
        <v>1279.4298620826078</v>
      </c>
      <c r="Q63" s="214">
        <f t="shared" ca="1" si="177"/>
        <v>0</v>
      </c>
      <c r="R63" s="55">
        <f t="array" aca="1" ref="R63" ca="1">SUM(IF(ISNUMBER(S$60:S63),1,0))+IF($A63&gt;Capas_VN_C1,1,0)</f>
        <v>2</v>
      </c>
      <c r="S63" s="51" t="e">
        <f t="shared" ca="1" si="134"/>
        <v>#N/A</v>
      </c>
      <c r="T63" s="51" t="e">
        <f t="shared" ca="1" si="117"/>
        <v>#N/A</v>
      </c>
      <c r="U63" s="51" t="e">
        <f t="shared" ca="1" si="118"/>
        <v>#N/A</v>
      </c>
      <c r="V63" s="48" t="str">
        <f t="shared" ca="1" si="119"/>
        <v>$T$61:$T$62</v>
      </c>
      <c r="W63" s="48" t="str">
        <f t="shared" ca="1" si="120"/>
        <v>$U$61:$U$62</v>
      </c>
      <c r="X63" s="54">
        <f t="shared" ca="1" si="135"/>
        <v>15.429709302196073</v>
      </c>
      <c r="Y63" s="50">
        <f ca="1"/>
        <v>1750.2423713135649</v>
      </c>
      <c r="Z63" s="55">
        <f ca="1"/>
        <v>1</v>
      </c>
      <c r="AA63" s="55">
        <f t="array" aca="1" ref="AA63" ca="1">SUM(IF(ISNUMBER(AB$60:AB63),1,0))+IF($A63&gt;Capas_VN_C1,1,0)</f>
        <v>4</v>
      </c>
      <c r="AB63" s="51">
        <f t="shared" ca="1" si="136"/>
        <v>1374.574647833676</v>
      </c>
      <c r="AC63" s="51">
        <f t="shared" ca="1" si="137"/>
        <v>1374.574647833676</v>
      </c>
      <c r="AD63" s="51">
        <f t="shared" ca="1" si="138"/>
        <v>5015</v>
      </c>
      <c r="AE63" s="48" t="str">
        <f t="shared" ca="1" si="139"/>
        <v>$AC$63:$AC$64</v>
      </c>
      <c r="AF63" s="48" t="str">
        <f t="shared" ca="1" si="140"/>
        <v>$AD$63:$AD$64</v>
      </c>
      <c r="AG63" s="50">
        <f t="shared" ca="1" si="121"/>
        <v>1374.574647833676</v>
      </c>
      <c r="AH63" s="214" t="e">
        <f t="shared" ca="1" si="122"/>
        <v>#DIV/0!</v>
      </c>
      <c r="AI63" s="54">
        <f t="shared" ca="1" si="141"/>
        <v>16.435607330658907</v>
      </c>
      <c r="AJ63" s="50">
        <f ca="1"/>
        <v>1866.7969434445595</v>
      </c>
      <c r="AK63" s="55">
        <f ca="1"/>
        <v>1</v>
      </c>
      <c r="AL63" s="55">
        <f t="array" aca="1" ref="AL63" ca="1">SUM(IF(ISNUMBER(AM$60:AM63),1,0))+IF($A63&gt;Capas_VN_C1,1,0)</f>
        <v>4</v>
      </c>
      <c r="AM63" s="51">
        <f t="shared" ca="1" si="142"/>
        <v>1374.574647833676</v>
      </c>
      <c r="AN63" s="51">
        <f t="shared" ca="1" si="143"/>
        <v>1374.574647833676</v>
      </c>
      <c r="AO63" s="51">
        <f t="shared" ca="1" si="144"/>
        <v>5015</v>
      </c>
      <c r="AP63" s="48" t="str">
        <f t="shared" ca="1" si="145"/>
        <v>$AN$63:$AN$64</v>
      </c>
      <c r="AQ63" s="48" t="str">
        <f t="shared" ca="1" si="146"/>
        <v>$AO$63:$AO$64</v>
      </c>
      <c r="AR63" s="50">
        <f t="shared" ca="1" si="123"/>
        <v>1374.574647833676</v>
      </c>
      <c r="AS63" s="214" t="e">
        <f t="shared" ca="1" si="124"/>
        <v>#DIV/0!</v>
      </c>
      <c r="AT63" s="54">
        <f t="shared" ca="1" si="147"/>
        <v>-78.468021280085594</v>
      </c>
      <c r="AU63" s="50">
        <f ca="1"/>
        <v>1.9237893486430266</v>
      </c>
      <c r="AV63" s="55">
        <f ca="1"/>
        <v>0</v>
      </c>
      <c r="AW63" s="55">
        <f t="array" aca="1" ref="AW63" ca="1">SUM(IF(ISNUMBER(AX$60:AX63),1,0))+IF($A63&gt;Capas_VN_C1,1,0)</f>
        <v>1</v>
      </c>
      <c r="AX63" s="50" t="e">
        <f t="shared" ca="1" si="148"/>
        <v>#N/A</v>
      </c>
      <c r="AY63" s="51" t="e">
        <f t="shared" ca="1" si="149"/>
        <v>#N/A</v>
      </c>
      <c r="AZ63" s="51" t="e">
        <f t="shared" ca="1" si="125"/>
        <v>#N/A</v>
      </c>
      <c r="BA63" s="48" t="str">
        <f t="shared" ca="1" si="150"/>
        <v>$AY$60:$AY$61</v>
      </c>
      <c r="BB63" s="48" t="str">
        <f t="shared" ca="1" si="151"/>
        <v>$AZ$60:$AZ$61</v>
      </c>
      <c r="BC63" s="50">
        <f t="shared" ca="1" si="126"/>
        <v>1.9237893486430266</v>
      </c>
      <c r="BD63" s="214" t="e">
        <f t="shared" ca="1" si="127"/>
        <v>#N/A</v>
      </c>
      <c r="BF63" s="43">
        <v>3</v>
      </c>
      <c r="BG63" s="15" t="e">
        <f t="shared" si="152"/>
        <v>#N/A</v>
      </c>
      <c r="BH63" s="56" t="e">
        <v>#REF!</v>
      </c>
      <c r="BI63" s="48" t="e">
        <v>#N/A</v>
      </c>
      <c r="BJ63" s="51" t="e">
        <v>#REF!</v>
      </c>
      <c r="BK63" s="51" t="e">
        <v>#REF!</v>
      </c>
      <c r="BL63" s="56" t="e">
        <f>IF(OR(BH63="",BH63="Interior"),NA(),SUM($BH$61:$BH63))</f>
        <v>#REF!</v>
      </c>
      <c r="BM63" s="48" t="e">
        <f>IF(BG63="",NA(),SUM($BI$60:$BI63))</f>
        <v>#N/A</v>
      </c>
      <c r="BN63" s="50" t="e">
        <v>#REF!</v>
      </c>
      <c r="BO63" s="52" t="e">
        <f>IF(BN63="",NA(),SUM($BN$60:$BN63))</f>
        <v>#REF!</v>
      </c>
      <c r="BP63" s="53" t="e">
        <v>#N/A</v>
      </c>
      <c r="BQ63" s="52" t="e">
        <v>#N/A</v>
      </c>
      <c r="BR63" s="54"/>
      <c r="BS63" s="50" t="e">
        <f ca="1"/>
        <v>#N/A</v>
      </c>
      <c r="BT63" s="55" t="e">
        <f ca="1"/>
        <v>#N/A</v>
      </c>
      <c r="BU63" s="55">
        <f t="array" aca="1" ref="BU63" ca="1">SUM(IF(ISNUMBER(BV$60:BV63),1,0))+IF($BF63&gt;Capas_VN_C2,1,0)</f>
        <v>1</v>
      </c>
      <c r="BV63" s="51" t="e">
        <f t="shared" ca="1" si="153"/>
        <v>#N/A</v>
      </c>
      <c r="BW63" s="51" t="e">
        <f t="shared" ca="1" si="154"/>
        <v>#N/A</v>
      </c>
      <c r="BX63" s="51" t="e">
        <f t="shared" ca="1" si="155"/>
        <v>#N/A</v>
      </c>
      <c r="BY63" s="48" t="str">
        <f t="shared" ca="1" si="156"/>
        <v>$BW$60:$BW$61</v>
      </c>
      <c r="BZ63" s="48" t="str">
        <f t="shared" ca="1" si="157"/>
        <v>$BX$60:$BX$61</v>
      </c>
      <c r="CA63" s="50" t="e">
        <f t="shared" ca="1" si="158"/>
        <v>#REF!</v>
      </c>
      <c r="CB63" s="214" t="e">
        <f t="shared" ca="1" si="128"/>
        <v>#N/A</v>
      </c>
      <c r="CC63" s="54"/>
      <c r="CD63" s="50" t="e">
        <f ca="1"/>
        <v>#N/A</v>
      </c>
      <c r="CE63" s="55" t="e">
        <f ca="1"/>
        <v>#N/A</v>
      </c>
      <c r="CF63" s="55">
        <f t="array" aca="1" ref="CF63" ca="1">SUM(IF(ISNUMBER(CG$60:CG63),1,0))+IF($BF63&gt;Capas_VN_C2,1,0)</f>
        <v>1</v>
      </c>
      <c r="CG63" s="51" t="e">
        <f t="shared" ca="1" si="159"/>
        <v>#N/A</v>
      </c>
      <c r="CH63" s="51" t="e">
        <f t="shared" ca="1" si="160"/>
        <v>#N/A</v>
      </c>
      <c r="CI63" s="51" t="e">
        <f t="shared" ca="1" si="161"/>
        <v>#N/A</v>
      </c>
      <c r="CJ63" s="48" t="str">
        <f t="shared" ca="1" si="162"/>
        <v>$CH$60:$CH$61</v>
      </c>
      <c r="CK63" s="48" t="str">
        <f t="shared" ca="1" si="163"/>
        <v>$CI$60:$CI$61</v>
      </c>
      <c r="CL63" s="50" t="e">
        <f t="shared" ca="1" si="164"/>
        <v>#REF!</v>
      </c>
      <c r="CM63" s="214" t="e">
        <f t="shared" ca="1" si="129"/>
        <v>#N/A</v>
      </c>
      <c r="CN63" s="54"/>
      <c r="CO63" s="50" t="e">
        <f ca="1"/>
        <v>#N/A</v>
      </c>
      <c r="CP63" s="55" t="e">
        <f ca="1"/>
        <v>#N/A</v>
      </c>
      <c r="CQ63" s="55">
        <f t="array" aca="1" ref="CQ63" ca="1">SUM(IF(ISNUMBER(CR$60:CR63),1,0))+IF($BF63&gt;Capas_VN_C2,1,0)</f>
        <v>1</v>
      </c>
      <c r="CR63" s="51" t="e">
        <f t="shared" ca="1" si="165"/>
        <v>#N/A</v>
      </c>
      <c r="CS63" s="51" t="e">
        <f t="shared" ca="1" si="166"/>
        <v>#N/A</v>
      </c>
      <c r="CT63" s="51" t="e">
        <f t="shared" ca="1" si="167"/>
        <v>#N/A</v>
      </c>
      <c r="CU63" s="48" t="str">
        <f t="shared" ca="1" si="168"/>
        <v>$CS$60:$CS$61</v>
      </c>
      <c r="CV63" s="48" t="str">
        <f t="shared" ca="1" si="169"/>
        <v>$CT$60:$CT$61</v>
      </c>
      <c r="CW63" s="50" t="e">
        <f t="shared" ca="1" si="170"/>
        <v>#REF!</v>
      </c>
      <c r="CX63" s="214" t="e">
        <f t="shared" ca="1" si="130"/>
        <v>#N/A</v>
      </c>
      <c r="CY63" s="54"/>
      <c r="CZ63" s="50" t="e">
        <v>#N/A</v>
      </c>
      <c r="DA63" s="55" t="e">
        <v>#N/A</v>
      </c>
      <c r="DB63" s="55">
        <f t="array" ref="DB63">SUM(IF(ISNUMBER(DC$60:DC63),1,0))+IF($BF63&gt;Capas_VN_C2,1,0)</f>
        <v>1</v>
      </c>
      <c r="DC63" s="51" t="e">
        <f t="shared" si="171"/>
        <v>#N/A</v>
      </c>
      <c r="DD63" s="51" t="e">
        <f t="shared" si="172"/>
        <v>#N/A</v>
      </c>
      <c r="DE63" s="51" t="e">
        <f t="shared" si="173"/>
        <v>#N/A</v>
      </c>
      <c r="DF63" s="48" t="str">
        <f t="shared" si="174"/>
        <v>$DD$60:$DD$61</v>
      </c>
      <c r="DG63" s="48" t="str">
        <f t="shared" si="175"/>
        <v>$DE$60:$DE$61</v>
      </c>
      <c r="DH63" s="50" t="e">
        <f t="shared" ca="1" si="176"/>
        <v>#REF!</v>
      </c>
      <c r="DI63" s="214" t="e">
        <f t="shared" ca="1" si="131"/>
        <v>#N/A</v>
      </c>
    </row>
    <row r="64" spans="1:113" x14ac:dyDescent="0.25">
      <c r="A64" s="43">
        <v>4</v>
      </c>
      <c r="B64" s="15" t="str">
        <f t="shared" si="132"/>
        <v>Interfase 4</v>
      </c>
      <c r="C64" s="56">
        <v>0.1</v>
      </c>
      <c r="D64" s="48">
        <v>3.65</v>
      </c>
      <c r="E64" s="51">
        <v>150</v>
      </c>
      <c r="F64" s="51" t="b">
        <v>0</v>
      </c>
      <c r="G64" s="56">
        <f>IF(OR(B64="",B64="Interior"),NA(),SUM($C$61:$C64))</f>
        <v>0.21100000000000002</v>
      </c>
      <c r="H64" s="48">
        <f>IF(B64="",NA(),SUM($D$60:$D64))</f>
        <v>6.74</v>
      </c>
      <c r="I64" s="50">
        <v>15</v>
      </c>
      <c r="J64" s="52">
        <f>IF(I64="",NA(),SUM($I$60:$I64))</f>
        <v>6030</v>
      </c>
      <c r="K64" s="53">
        <f ca="1"/>
        <v>19.620390455531457</v>
      </c>
      <c r="L64" s="47">
        <f ca="1"/>
        <v>2282.5994128977159</v>
      </c>
      <c r="M64" s="54">
        <f t="shared" ca="1" si="133"/>
        <v>10.71433836227984</v>
      </c>
      <c r="N64" s="50">
        <f ca="1"/>
        <v>1285.3128192000049</v>
      </c>
      <c r="O64" s="55">
        <f ca="1"/>
        <v>0</v>
      </c>
      <c r="P64" s="50">
        <f t="shared" ca="1" si="116"/>
        <v>1285.2763571309022</v>
      </c>
      <c r="Q64" s="214">
        <f t="shared" ref="Q64:Q72" ca="1" si="178">δ_0*(SLOPE(INDIRECT(V64),INDIRECT(W64))-SLOPE(INDIRECT(V63),INDIRECT(W63)))</f>
        <v>0</v>
      </c>
      <c r="R64" s="55">
        <f t="array" aca="1" ref="R64" ca="1">SUM(IF(ISNUMBER(S$60:S64),1,0))+IF($A64&gt;Capas_VN_C1,1,0)</f>
        <v>2</v>
      </c>
      <c r="S64" s="51" t="e">
        <f t="shared" ca="1" si="134"/>
        <v>#N/A</v>
      </c>
      <c r="T64" s="51" t="e">
        <f t="shared" ca="1" si="117"/>
        <v>#N/A</v>
      </c>
      <c r="U64" s="51" t="e">
        <f t="shared" ca="1" si="118"/>
        <v>#N/A</v>
      </c>
      <c r="V64" s="48" t="str">
        <f t="shared" ca="1" si="119"/>
        <v>$T$61:$T$62</v>
      </c>
      <c r="W64" s="48" t="str">
        <f t="shared" ca="1" si="120"/>
        <v>$U$61:$U$62</v>
      </c>
      <c r="X64" s="54">
        <f t="shared" ca="1" si="135"/>
        <v>15.451466186639976</v>
      </c>
      <c r="Y64" s="50">
        <f ca="1"/>
        <v>1752.693746847485</v>
      </c>
      <c r="Z64" s="55">
        <f ca="1"/>
        <v>0</v>
      </c>
      <c r="AA64" s="55">
        <f t="array" aca="1" ref="AA64" ca="1">SUM(IF(ISNUMBER(AB$60:AB64),1,0))+IF($A64&gt;Capas_VN_C1,1,0)</f>
        <v>4</v>
      </c>
      <c r="AB64" s="51" t="e">
        <f t="shared" ca="1" si="136"/>
        <v>#N/A</v>
      </c>
      <c r="AC64" s="51">
        <f t="shared" ca="1" si="137"/>
        <v>1752.7133578517564</v>
      </c>
      <c r="AD64" s="51">
        <f t="shared" ca="1" si="138"/>
        <v>6030.12</v>
      </c>
      <c r="AE64" s="48" t="str">
        <f t="shared" ca="1" si="139"/>
        <v>$AC$63:$AC$64</v>
      </c>
      <c r="AF64" s="48" t="str">
        <f t="shared" ca="1" si="140"/>
        <v>$AD$63:$AD$64</v>
      </c>
      <c r="AG64" s="50">
        <f t="shared" ca="1" si="121"/>
        <v>1752.6686570821905</v>
      </c>
      <c r="AH64" s="214" t="e">
        <f t="shared" ca="1" si="122"/>
        <v>#N/A</v>
      </c>
      <c r="AI64" s="54">
        <f t="shared" ca="1" si="141"/>
        <v>16.458597449935723</v>
      </c>
      <c r="AJ64" s="50">
        <f ca="1"/>
        <v>1869.5389787593549</v>
      </c>
      <c r="AK64" s="55">
        <f ca="1"/>
        <v>0</v>
      </c>
      <c r="AL64" s="55">
        <f t="array" aca="1" ref="AL64" ca="1">SUM(IF(ISNUMBER(AM$60:AM64),1,0))+IF($A64&gt;Capas_VN_C1,1,0)</f>
        <v>4</v>
      </c>
      <c r="AM64" s="51" t="e">
        <f t="shared" ca="1" si="142"/>
        <v>#N/A</v>
      </c>
      <c r="AN64" s="51">
        <f t="shared" ca="1" si="143"/>
        <v>1869.5609150418736</v>
      </c>
      <c r="AO64" s="51">
        <f t="shared" ca="1" si="144"/>
        <v>6030.12</v>
      </c>
      <c r="AP64" s="48" t="str">
        <f t="shared" ca="1" si="145"/>
        <v>$AN$63:$AN$64</v>
      </c>
      <c r="AQ64" s="48" t="str">
        <f t="shared" ca="1" si="146"/>
        <v>$AO$63:$AO$64</v>
      </c>
      <c r="AR64" s="50">
        <f t="shared" ca="1" si="123"/>
        <v>1869.5024014158346</v>
      </c>
      <c r="AS64" s="214" t="e">
        <f t="shared" ca="1" si="124"/>
        <v>#N/A</v>
      </c>
      <c r="AT64" s="54">
        <f t="shared" ca="1" si="147"/>
        <v>-193.00137402960232</v>
      </c>
      <c r="AU64" s="50">
        <f ca="1"/>
        <v>1.5268169433738876E-2</v>
      </c>
      <c r="AV64" s="55">
        <f ca="1"/>
        <v>0</v>
      </c>
      <c r="AW64" s="55">
        <f t="array" aca="1" ref="AW64" ca="1">SUM(IF(ISNUMBER(AX$60:AX64),1,0))+IF($A64&gt;Capas_VN_C1,1,0)</f>
        <v>1</v>
      </c>
      <c r="AX64" s="50" t="e">
        <f t="shared" ca="1" si="148"/>
        <v>#N/A</v>
      </c>
      <c r="AY64" s="51" t="e">
        <f t="shared" ca="1" si="149"/>
        <v>#N/A</v>
      </c>
      <c r="AZ64" s="51" t="e">
        <f t="shared" ca="1" si="125"/>
        <v>#N/A</v>
      </c>
      <c r="BA64" s="48" t="str">
        <f t="shared" ca="1" si="150"/>
        <v>$AY$60:$AY$61</v>
      </c>
      <c r="BB64" s="48" t="str">
        <f t="shared" ca="1" si="151"/>
        <v>$AZ$60:$AZ$61</v>
      </c>
      <c r="BC64" s="50">
        <f t="shared" ca="1" si="126"/>
        <v>1.5268169433738876E-2</v>
      </c>
      <c r="BD64" s="214" t="e">
        <f t="shared" ca="1" si="127"/>
        <v>#N/A</v>
      </c>
      <c r="BF64" s="43">
        <v>4</v>
      </c>
      <c r="BG64" s="15" t="e">
        <f t="shared" si="152"/>
        <v>#N/A</v>
      </c>
      <c r="BH64" s="56" t="e">
        <v>#REF!</v>
      </c>
      <c r="BI64" s="48" t="e">
        <v>#N/A</v>
      </c>
      <c r="BJ64" s="51" t="e">
        <v>#REF!</v>
      </c>
      <c r="BK64" s="51" t="e">
        <v>#REF!</v>
      </c>
      <c r="BL64" s="56" t="e">
        <f>IF(OR(BH64="",BH64="Interior"),NA(),SUM($BH$61:$BH64))</f>
        <v>#REF!</v>
      </c>
      <c r="BM64" s="48" t="e">
        <f>IF(BG64="",NA(),SUM($BI$60:$BI64))</f>
        <v>#N/A</v>
      </c>
      <c r="BN64" s="50" t="e">
        <v>#REF!</v>
      </c>
      <c r="BO64" s="52" t="e">
        <f>IF(BN64="",NA(),SUM($BN$60:$BN64))</f>
        <v>#REF!</v>
      </c>
      <c r="BP64" s="53" t="e">
        <v>#N/A</v>
      </c>
      <c r="BQ64" s="52" t="e">
        <v>#N/A</v>
      </c>
      <c r="BR64" s="54"/>
      <c r="BS64" s="50" t="e">
        <f ca="1"/>
        <v>#N/A</v>
      </c>
      <c r="BT64" s="55" t="e">
        <f ca="1"/>
        <v>#N/A</v>
      </c>
      <c r="BU64" s="55">
        <f t="array" aca="1" ref="BU64" ca="1">SUM(IF(ISNUMBER(BV$60:BV64),1,0))+IF($BF64&gt;Capas_VN_C2,1,0)</f>
        <v>1</v>
      </c>
      <c r="BV64" s="51" t="e">
        <f t="shared" ca="1" si="153"/>
        <v>#N/A</v>
      </c>
      <c r="BW64" s="51" t="e">
        <f t="shared" ca="1" si="154"/>
        <v>#N/A</v>
      </c>
      <c r="BX64" s="51" t="e">
        <f t="shared" ca="1" si="155"/>
        <v>#N/A</v>
      </c>
      <c r="BY64" s="48" t="str">
        <f t="shared" ca="1" si="156"/>
        <v>$BW$60:$BW$61</v>
      </c>
      <c r="BZ64" s="48" t="str">
        <f t="shared" ca="1" si="157"/>
        <v>$BX$60:$BX$61</v>
      </c>
      <c r="CA64" s="50" t="e">
        <f t="shared" ca="1" si="158"/>
        <v>#REF!</v>
      </c>
      <c r="CB64" s="214" t="e">
        <f t="shared" ca="1" si="128"/>
        <v>#N/A</v>
      </c>
      <c r="CC64" s="54"/>
      <c r="CD64" s="50" t="e">
        <f ca="1"/>
        <v>#N/A</v>
      </c>
      <c r="CE64" s="55" t="e">
        <f ca="1"/>
        <v>#N/A</v>
      </c>
      <c r="CF64" s="55">
        <f t="array" aca="1" ref="CF64" ca="1">SUM(IF(ISNUMBER(CG$60:CG64),1,0))+IF($BF64&gt;Capas_VN_C2,1,0)</f>
        <v>1</v>
      </c>
      <c r="CG64" s="51" t="e">
        <f t="shared" ca="1" si="159"/>
        <v>#N/A</v>
      </c>
      <c r="CH64" s="51" t="e">
        <f t="shared" ca="1" si="160"/>
        <v>#N/A</v>
      </c>
      <c r="CI64" s="51" t="e">
        <f t="shared" ca="1" si="161"/>
        <v>#N/A</v>
      </c>
      <c r="CJ64" s="48" t="str">
        <f t="shared" ca="1" si="162"/>
        <v>$CH$60:$CH$61</v>
      </c>
      <c r="CK64" s="48" t="str">
        <f t="shared" ca="1" si="163"/>
        <v>$CI$60:$CI$61</v>
      </c>
      <c r="CL64" s="50" t="e">
        <f t="shared" ca="1" si="164"/>
        <v>#REF!</v>
      </c>
      <c r="CM64" s="214" t="e">
        <f t="shared" ca="1" si="129"/>
        <v>#N/A</v>
      </c>
      <c r="CN64" s="54"/>
      <c r="CO64" s="50" t="e">
        <f ca="1"/>
        <v>#N/A</v>
      </c>
      <c r="CP64" s="55" t="e">
        <f ca="1"/>
        <v>#N/A</v>
      </c>
      <c r="CQ64" s="55">
        <f t="array" aca="1" ref="CQ64" ca="1">SUM(IF(ISNUMBER(CR$60:CR64),1,0))+IF($BF64&gt;Capas_VN_C2,1,0)</f>
        <v>1</v>
      </c>
      <c r="CR64" s="51" t="e">
        <f t="shared" ca="1" si="165"/>
        <v>#N/A</v>
      </c>
      <c r="CS64" s="51" t="e">
        <f t="shared" ca="1" si="166"/>
        <v>#N/A</v>
      </c>
      <c r="CT64" s="51" t="e">
        <f t="shared" ca="1" si="167"/>
        <v>#N/A</v>
      </c>
      <c r="CU64" s="48" t="str">
        <f t="shared" ca="1" si="168"/>
        <v>$CS$60:$CS$61</v>
      </c>
      <c r="CV64" s="48" t="str">
        <f t="shared" ca="1" si="169"/>
        <v>$CT$60:$CT$61</v>
      </c>
      <c r="CW64" s="50" t="e">
        <f t="shared" ca="1" si="170"/>
        <v>#REF!</v>
      </c>
      <c r="CX64" s="214" t="e">
        <f t="shared" ca="1" si="130"/>
        <v>#N/A</v>
      </c>
      <c r="CY64" s="54"/>
      <c r="CZ64" s="50" t="e">
        <v>#N/A</v>
      </c>
      <c r="DA64" s="55" t="e">
        <v>#N/A</v>
      </c>
      <c r="DB64" s="55">
        <f t="array" ref="DB64">SUM(IF(ISNUMBER(DC$60:DC64),1,0))+IF($BF64&gt;Capas_VN_C2,1,0)</f>
        <v>1</v>
      </c>
      <c r="DC64" s="51" t="e">
        <f t="shared" si="171"/>
        <v>#N/A</v>
      </c>
      <c r="DD64" s="51" t="e">
        <f t="shared" si="172"/>
        <v>#N/A</v>
      </c>
      <c r="DE64" s="51" t="e">
        <f t="shared" si="173"/>
        <v>#N/A</v>
      </c>
      <c r="DF64" s="48" t="str">
        <f t="shared" si="174"/>
        <v>$DD$60:$DD$61</v>
      </c>
      <c r="DG64" s="48" t="str">
        <f t="shared" si="175"/>
        <v>$DE$60:$DE$61</v>
      </c>
      <c r="DH64" s="50" t="e">
        <f t="shared" ca="1" si="176"/>
        <v>#REF!</v>
      </c>
      <c r="DI64" s="214" t="e">
        <f t="shared" ca="1" si="131"/>
        <v>#N/A</v>
      </c>
    </row>
    <row r="65" spans="1:113" x14ac:dyDescent="0.25">
      <c r="A65" s="43">
        <v>5</v>
      </c>
      <c r="B65" s="15" t="str">
        <f t="shared" si="132"/>
        <v>Superficie interior</v>
      </c>
      <c r="C65" s="56">
        <v>1.2E-2</v>
      </c>
      <c r="D65" s="48">
        <v>7.4999999999999997E-2</v>
      </c>
      <c r="E65" s="51">
        <v>10</v>
      </c>
      <c r="F65" s="51" t="b">
        <v>0</v>
      </c>
      <c r="G65" s="56">
        <f>IF(OR(B65="",B65="Interior"),NA(),SUM($C$61:$C65))</f>
        <v>0.22300000000000003</v>
      </c>
      <c r="H65" s="48">
        <f>IF(B65="",NA(),SUM($D$60:$D65))</f>
        <v>6.8150000000000004</v>
      </c>
      <c r="I65" s="50">
        <v>0.12</v>
      </c>
      <c r="J65" s="52">
        <f>IF(I65="",NA(),SUM($I$60:$I65))</f>
        <v>6030.12</v>
      </c>
      <c r="K65" s="53">
        <f ca="1"/>
        <v>19.783080260303688</v>
      </c>
      <c r="L65" s="47">
        <f ca="1"/>
        <v>2305.7561079064658</v>
      </c>
      <c r="M65" s="54">
        <f t="shared" ca="1" si="133"/>
        <v>10.714458762800982</v>
      </c>
      <c r="N65" s="50">
        <f ca="1"/>
        <v>1285.3231290912881</v>
      </c>
      <c r="O65" s="55">
        <f ca="1"/>
        <v>0</v>
      </c>
      <c r="P65" s="50">
        <f t="shared" ca="1" si="116"/>
        <v>1285.3231290912881</v>
      </c>
      <c r="Q65" s="214" t="e">
        <f t="shared" ca="1" si="178"/>
        <v>#N/A</v>
      </c>
      <c r="R65" s="55">
        <f t="array" aca="1" ref="R65" ca="1">SUM(IF(ISNUMBER(S$60:S65),1,0))+IF($A65&gt;Capas_VN_C1,1,0)</f>
        <v>3</v>
      </c>
      <c r="S65" s="51">
        <f t="shared" ca="1" si="134"/>
        <v>1285.3231290912881</v>
      </c>
      <c r="T65" s="51" t="e">
        <f t="shared" ca="1" si="117"/>
        <v>#N/A</v>
      </c>
      <c r="U65" s="51" t="e">
        <f t="shared" ca="1" si="118"/>
        <v>#N/A</v>
      </c>
      <c r="V65" s="48" t="str">
        <f t="shared" ca="1" si="119"/>
        <v>$T$62:$T$63</v>
      </c>
      <c r="W65" s="48" t="str">
        <f t="shared" ca="1" si="120"/>
        <v>$U$62:$U$63</v>
      </c>
      <c r="X65" s="54">
        <f t="shared" ca="1" si="135"/>
        <v>15.451640133335745</v>
      </c>
      <c r="Y65" s="50">
        <f ca="1"/>
        <v>1752.7133578517564</v>
      </c>
      <c r="Z65" s="55">
        <f ca="1"/>
        <v>0</v>
      </c>
      <c r="AA65" s="55">
        <f t="array" aca="1" ref="AA65" ca="1">SUM(IF(ISNUMBER(AB$60:AB65),1,0))+IF($A65&gt;Capas_VN_C1,1,0)</f>
        <v>5</v>
      </c>
      <c r="AB65" s="51">
        <f t="shared" ca="1" si="136"/>
        <v>1752.7133578517564</v>
      </c>
      <c r="AC65" s="51" t="e">
        <f t="shared" ca="1" si="137"/>
        <v>#N/A</v>
      </c>
      <c r="AD65" s="51" t="e">
        <f t="shared" ca="1" si="138"/>
        <v>#N/A</v>
      </c>
      <c r="AE65" s="48" t="str">
        <f t="shared" ca="1" si="139"/>
        <v>$AC$64:$AC$65</v>
      </c>
      <c r="AF65" s="48" t="str">
        <f t="shared" ca="1" si="140"/>
        <v>$AD$64:$AD$65</v>
      </c>
      <c r="AG65" s="50">
        <f t="shared" ca="1" si="121"/>
        <v>1752.7133578517564</v>
      </c>
      <c r="AH65" s="214" t="e">
        <f t="shared" ca="1" si="122"/>
        <v>#N/A</v>
      </c>
      <c r="AI65" s="54">
        <f t="shared" ca="1" si="141"/>
        <v>16.458781250993582</v>
      </c>
      <c r="AJ65" s="50">
        <f ca="1"/>
        <v>1869.5609150418736</v>
      </c>
      <c r="AK65" s="55">
        <f ca="1"/>
        <v>0</v>
      </c>
      <c r="AL65" s="55">
        <f t="array" aca="1" ref="AL65" ca="1">SUM(IF(ISNUMBER(AM$60:AM65),1,0))+IF($A65&gt;Capas_VN_C1,1,0)</f>
        <v>5</v>
      </c>
      <c r="AM65" s="51">
        <f t="shared" ca="1" si="142"/>
        <v>1869.5609150418736</v>
      </c>
      <c r="AN65" s="51" t="e">
        <f t="shared" ca="1" si="143"/>
        <v>#N/A</v>
      </c>
      <c r="AO65" s="51" t="e">
        <f t="shared" ca="1" si="144"/>
        <v>#N/A</v>
      </c>
      <c r="AP65" s="48" t="str">
        <f t="shared" ca="1" si="145"/>
        <v>$AN$64:$AN$65</v>
      </c>
      <c r="AQ65" s="48" t="str">
        <f t="shared" ca="1" si="146"/>
        <v>$AO$64:$AO$65</v>
      </c>
      <c r="AR65" s="50">
        <f t="shared" ca="1" si="123"/>
        <v>1869.5609150418736</v>
      </c>
      <c r="AS65" s="214" t="e">
        <f t="shared" ca="1" si="124"/>
        <v>#N/A</v>
      </c>
      <c r="AT65" s="54" t="e">
        <f t="shared" ca="1" si="147"/>
        <v>#NUM!</v>
      </c>
      <c r="AU65" s="50">
        <f ca="1"/>
        <v>0</v>
      </c>
      <c r="AV65" s="55">
        <f ca="1"/>
        <v>0</v>
      </c>
      <c r="AW65" s="55">
        <f t="array" aca="1" ref="AW65" ca="1">SUM(IF(ISNUMBER(AX$60:AX65),1,0))+IF($A65&gt;Capas_VN_C1,1,0)</f>
        <v>2</v>
      </c>
      <c r="AX65" s="50">
        <f t="shared" ca="1" si="148"/>
        <v>0</v>
      </c>
      <c r="AY65" s="51" t="e">
        <f t="shared" ca="1" si="149"/>
        <v>#N/A</v>
      </c>
      <c r="AZ65" s="51" t="e">
        <f t="shared" ca="1" si="125"/>
        <v>#N/A</v>
      </c>
      <c r="BA65" s="48" t="str">
        <f t="shared" ca="1" si="150"/>
        <v>$AY$61:$AY$62</v>
      </c>
      <c r="BB65" s="48" t="str">
        <f t="shared" ca="1" si="151"/>
        <v>$AZ$61:$AZ$62</v>
      </c>
      <c r="BC65" s="50">
        <f t="shared" ca="1" si="126"/>
        <v>0</v>
      </c>
      <c r="BD65" s="214" t="e">
        <f t="shared" ca="1" si="127"/>
        <v>#N/A</v>
      </c>
      <c r="BF65" s="43">
        <v>5</v>
      </c>
      <c r="BG65" s="15" t="e">
        <f t="shared" si="152"/>
        <v>#N/A</v>
      </c>
      <c r="BH65" s="56" t="e">
        <v>#REF!</v>
      </c>
      <c r="BI65" s="48" t="e">
        <v>#N/A</v>
      </c>
      <c r="BJ65" s="51" t="e">
        <v>#REF!</v>
      </c>
      <c r="BK65" s="51" t="e">
        <v>#REF!</v>
      </c>
      <c r="BL65" s="56" t="e">
        <f>IF(OR(BH65="",BH65="Interior"),NA(),SUM($BH$61:$BH65))</f>
        <v>#REF!</v>
      </c>
      <c r="BM65" s="48" t="e">
        <f>IF(BG65="",NA(),SUM($BI$60:$BI65))</f>
        <v>#N/A</v>
      </c>
      <c r="BN65" s="50" t="e">
        <v>#REF!</v>
      </c>
      <c r="BO65" s="52" t="e">
        <f>IF(BN65="",NA(),SUM($BN$60:$BN65))</f>
        <v>#REF!</v>
      </c>
      <c r="BP65" s="53" t="e">
        <v>#N/A</v>
      </c>
      <c r="BQ65" s="52" t="e">
        <v>#N/A</v>
      </c>
      <c r="BR65" s="54"/>
      <c r="BS65" s="50" t="e">
        <f ca="1"/>
        <v>#N/A</v>
      </c>
      <c r="BT65" s="55" t="e">
        <f ca="1"/>
        <v>#N/A</v>
      </c>
      <c r="BU65" s="55">
        <f t="array" aca="1" ref="BU65" ca="1">SUM(IF(ISNUMBER(BV$60:BV65),1,0))+IF($BF65&gt;Capas_VN_C2,1,0)</f>
        <v>1</v>
      </c>
      <c r="BV65" s="51" t="e">
        <f t="shared" ca="1" si="153"/>
        <v>#N/A</v>
      </c>
      <c r="BW65" s="51" t="e">
        <f t="shared" ca="1" si="154"/>
        <v>#N/A</v>
      </c>
      <c r="BX65" s="51" t="e">
        <f t="shared" ca="1" si="155"/>
        <v>#N/A</v>
      </c>
      <c r="BY65" s="48" t="str">
        <f t="shared" ca="1" si="156"/>
        <v>$BW$60:$BW$61</v>
      </c>
      <c r="BZ65" s="48" t="str">
        <f t="shared" ca="1" si="157"/>
        <v>$BX$60:$BX$61</v>
      </c>
      <c r="CA65" s="50" t="e">
        <f t="shared" ca="1" si="158"/>
        <v>#REF!</v>
      </c>
      <c r="CB65" s="214" t="e">
        <f t="shared" ca="1" si="128"/>
        <v>#N/A</v>
      </c>
      <c r="CC65" s="54"/>
      <c r="CD65" s="50" t="e">
        <f ca="1"/>
        <v>#N/A</v>
      </c>
      <c r="CE65" s="55" t="e">
        <f ca="1"/>
        <v>#N/A</v>
      </c>
      <c r="CF65" s="55">
        <f t="array" aca="1" ref="CF65" ca="1">SUM(IF(ISNUMBER(CG$60:CG65),1,0))+IF($BF65&gt;Capas_VN_C2,1,0)</f>
        <v>1</v>
      </c>
      <c r="CG65" s="51" t="e">
        <f t="shared" ca="1" si="159"/>
        <v>#N/A</v>
      </c>
      <c r="CH65" s="51" t="e">
        <f t="shared" ca="1" si="160"/>
        <v>#N/A</v>
      </c>
      <c r="CI65" s="51" t="e">
        <f t="shared" ca="1" si="161"/>
        <v>#N/A</v>
      </c>
      <c r="CJ65" s="48" t="str">
        <f t="shared" ca="1" si="162"/>
        <v>$CH$60:$CH$61</v>
      </c>
      <c r="CK65" s="48" t="str">
        <f t="shared" ca="1" si="163"/>
        <v>$CI$60:$CI$61</v>
      </c>
      <c r="CL65" s="50" t="e">
        <f t="shared" ca="1" si="164"/>
        <v>#REF!</v>
      </c>
      <c r="CM65" s="214" t="e">
        <f t="shared" ca="1" si="129"/>
        <v>#N/A</v>
      </c>
      <c r="CN65" s="54"/>
      <c r="CO65" s="50" t="e">
        <f ca="1"/>
        <v>#N/A</v>
      </c>
      <c r="CP65" s="55" t="e">
        <f ca="1"/>
        <v>#N/A</v>
      </c>
      <c r="CQ65" s="55">
        <f t="array" aca="1" ref="CQ65" ca="1">SUM(IF(ISNUMBER(CR$60:CR65),1,0))+IF($BF65&gt;Capas_VN_C2,1,0)</f>
        <v>1</v>
      </c>
      <c r="CR65" s="51" t="e">
        <f t="shared" ca="1" si="165"/>
        <v>#N/A</v>
      </c>
      <c r="CS65" s="51" t="e">
        <f t="shared" ca="1" si="166"/>
        <v>#N/A</v>
      </c>
      <c r="CT65" s="51" t="e">
        <f t="shared" ca="1" si="167"/>
        <v>#N/A</v>
      </c>
      <c r="CU65" s="48" t="str">
        <f t="shared" ca="1" si="168"/>
        <v>$CS$60:$CS$61</v>
      </c>
      <c r="CV65" s="48" t="str">
        <f t="shared" ca="1" si="169"/>
        <v>$CT$60:$CT$61</v>
      </c>
      <c r="CW65" s="50" t="e">
        <f t="shared" ca="1" si="170"/>
        <v>#REF!</v>
      </c>
      <c r="CX65" s="214" t="e">
        <f t="shared" ca="1" si="130"/>
        <v>#N/A</v>
      </c>
      <c r="CY65" s="54"/>
      <c r="CZ65" s="50" t="e">
        <v>#N/A</v>
      </c>
      <c r="DA65" s="55" t="e">
        <v>#N/A</v>
      </c>
      <c r="DB65" s="55">
        <f t="array" ref="DB65">SUM(IF(ISNUMBER(DC$60:DC65),1,0))+IF($BF65&gt;Capas_VN_C2,1,0)</f>
        <v>1</v>
      </c>
      <c r="DC65" s="51" t="e">
        <f t="shared" si="171"/>
        <v>#N/A</v>
      </c>
      <c r="DD65" s="51" t="e">
        <f t="shared" si="172"/>
        <v>#N/A</v>
      </c>
      <c r="DE65" s="51" t="e">
        <f t="shared" si="173"/>
        <v>#N/A</v>
      </c>
      <c r="DF65" s="48" t="str">
        <f t="shared" si="174"/>
        <v>$DD$60:$DD$61</v>
      </c>
      <c r="DG65" s="48" t="str">
        <f t="shared" si="175"/>
        <v>$DE$60:$DE$61</v>
      </c>
      <c r="DH65" s="50" t="e">
        <f t="shared" ca="1" si="176"/>
        <v>#REF!</v>
      </c>
      <c r="DI65" s="214" t="e">
        <f t="shared" ca="1" si="131"/>
        <v>#N/A</v>
      </c>
    </row>
    <row r="66" spans="1:113" x14ac:dyDescent="0.25">
      <c r="A66" s="43">
        <v>6</v>
      </c>
      <c r="B66" s="15" t="str">
        <f t="shared" si="132"/>
        <v>Interior</v>
      </c>
      <c r="C66" s="56" t="e">
        <v>#N/A</v>
      </c>
      <c r="D66" s="48">
        <v>0.1</v>
      </c>
      <c r="E66" s="51" t="e">
        <v>#N/A</v>
      </c>
      <c r="F66" s="51" t="e">
        <v>#N/A</v>
      </c>
      <c r="G66" s="56" t="e">
        <f>IF(OR(B66="",B66="Interior"),NA(),SUM($C$61:$C66))</f>
        <v>#N/A</v>
      </c>
      <c r="H66" s="48">
        <f>IF(B66="",NA(),SUM($D$60:$D66))</f>
        <v>6.915</v>
      </c>
      <c r="I66" s="50" t="e">
        <v>#N/A</v>
      </c>
      <c r="J66" s="52" t="e">
        <f>IF(I66="",NA(),SUM($I$60:$I66))</f>
        <v>#N/A</v>
      </c>
      <c r="K66" s="53">
        <f ca="1"/>
        <v>20</v>
      </c>
      <c r="L66" s="47">
        <f ca="1"/>
        <v>2336.9511438023419</v>
      </c>
      <c r="M66" s="54" t="e">
        <f t="shared" ca="1" si="133"/>
        <v>#N/A</v>
      </c>
      <c r="N66" s="50" t="e">
        <f ca="1"/>
        <v>#N/A</v>
      </c>
      <c r="O66" s="55" t="e">
        <f ca="1"/>
        <v>#N/A</v>
      </c>
      <c r="P66" s="50" t="e">
        <f t="shared" ca="1" si="116"/>
        <v>#N/A</v>
      </c>
      <c r="Q66" s="214" t="e">
        <f t="shared" ca="1" si="178"/>
        <v>#N/A</v>
      </c>
      <c r="R66" s="55">
        <f t="array" aca="1" ref="R66" ca="1">SUM(IF(ISNUMBER(S$60:S66),1,0))+IF($A66&gt;Capas_VN_C1,1,0)</f>
        <v>4</v>
      </c>
      <c r="S66" s="51" t="e">
        <f t="shared" ca="1" si="134"/>
        <v>#N/A</v>
      </c>
      <c r="T66" s="51" t="e">
        <f t="shared" ca="1" si="117"/>
        <v>#N/A</v>
      </c>
      <c r="U66" s="51" t="e">
        <f t="shared" ca="1" si="118"/>
        <v>#N/A</v>
      </c>
      <c r="V66" s="48" t="str">
        <f t="shared" ca="1" si="119"/>
        <v>$T$63:$T$64</v>
      </c>
      <c r="W66" s="48" t="str">
        <f t="shared" ca="1" si="120"/>
        <v>$U$63:$U$64</v>
      </c>
      <c r="X66" s="54" t="e">
        <f t="shared" ca="1" si="135"/>
        <v>#N/A</v>
      </c>
      <c r="Y66" s="50" t="e">
        <f ca="1"/>
        <v>#N/A</v>
      </c>
      <c r="Z66" s="55" t="e">
        <f ca="1"/>
        <v>#N/A</v>
      </c>
      <c r="AA66" s="55">
        <f t="array" aca="1" ref="AA66" ca="1">SUM(IF(ISNUMBER(AB$60:AB66),1,0))+IF($A66&gt;Capas_VN_C1,1,0)</f>
        <v>6</v>
      </c>
      <c r="AB66" s="51" t="e">
        <f t="shared" ca="1" si="136"/>
        <v>#N/A</v>
      </c>
      <c r="AC66" s="51" t="e">
        <f t="shared" ca="1" si="137"/>
        <v>#N/A</v>
      </c>
      <c r="AD66" s="51" t="e">
        <f t="shared" ca="1" si="138"/>
        <v>#N/A</v>
      </c>
      <c r="AE66" s="48" t="str">
        <f t="shared" ca="1" si="139"/>
        <v>$AC$65:$AC$66</v>
      </c>
      <c r="AF66" s="48" t="str">
        <f t="shared" ca="1" si="140"/>
        <v>$AD$65:$AD$66</v>
      </c>
      <c r="AG66" s="50" t="e">
        <f t="shared" ca="1" si="121"/>
        <v>#N/A</v>
      </c>
      <c r="AH66" s="214" t="e">
        <f t="shared" ca="1" si="122"/>
        <v>#N/A</v>
      </c>
      <c r="AI66" s="54" t="e">
        <f t="shared" ca="1" si="141"/>
        <v>#N/A</v>
      </c>
      <c r="AJ66" s="50" t="e">
        <f ca="1"/>
        <v>#N/A</v>
      </c>
      <c r="AK66" s="55" t="e">
        <f ca="1"/>
        <v>#N/A</v>
      </c>
      <c r="AL66" s="55">
        <f t="array" aca="1" ref="AL66" ca="1">SUM(IF(ISNUMBER(AM$60:AM66),1,0))+IF($A66&gt;Capas_VN_C1,1,0)</f>
        <v>6</v>
      </c>
      <c r="AM66" s="51" t="e">
        <f t="shared" ca="1" si="142"/>
        <v>#N/A</v>
      </c>
      <c r="AN66" s="51" t="e">
        <f t="shared" ca="1" si="143"/>
        <v>#N/A</v>
      </c>
      <c r="AO66" s="51" t="e">
        <f t="shared" ca="1" si="144"/>
        <v>#N/A</v>
      </c>
      <c r="AP66" s="48" t="str">
        <f t="shared" ca="1" si="145"/>
        <v>$AN$65:$AN$66</v>
      </c>
      <c r="AQ66" s="48" t="str">
        <f t="shared" ca="1" si="146"/>
        <v>$AO$65:$AO$66</v>
      </c>
      <c r="AR66" s="50" t="e">
        <f t="shared" ca="1" si="123"/>
        <v>#N/A</v>
      </c>
      <c r="AS66" s="214" t="e">
        <f t="shared" ca="1" si="124"/>
        <v>#N/A</v>
      </c>
      <c r="AT66" s="54" t="e">
        <f t="shared" ca="1" si="147"/>
        <v>#N/A</v>
      </c>
      <c r="AU66" s="50" t="e">
        <f ca="1"/>
        <v>#N/A</v>
      </c>
      <c r="AV66" s="55" t="e">
        <f ca="1"/>
        <v>#N/A</v>
      </c>
      <c r="AW66" s="55">
        <f t="array" aca="1" ref="AW66" ca="1">SUM(IF(ISNUMBER(AX$60:AX66),1,0))+IF($A66&gt;Capas_VN_C1,1,0)</f>
        <v>3</v>
      </c>
      <c r="AX66" s="50" t="e">
        <f t="shared" ca="1" si="148"/>
        <v>#N/A</v>
      </c>
      <c r="AY66" s="51" t="e">
        <f t="shared" ca="1" si="149"/>
        <v>#N/A</v>
      </c>
      <c r="AZ66" s="51" t="e">
        <f t="shared" ca="1" si="125"/>
        <v>#N/A</v>
      </c>
      <c r="BA66" s="48" t="str">
        <f t="shared" ca="1" si="150"/>
        <v>$AY$62:$AY$63</v>
      </c>
      <c r="BB66" s="48" t="str">
        <f t="shared" ca="1" si="151"/>
        <v>$AZ$62:$AZ$63</v>
      </c>
      <c r="BC66" s="50" t="e">
        <f t="shared" ca="1" si="126"/>
        <v>#N/A</v>
      </c>
      <c r="BD66" s="214" t="e">
        <f t="shared" ca="1" si="127"/>
        <v>#N/A</v>
      </c>
      <c r="BF66" s="43">
        <v>6</v>
      </c>
      <c r="BG66" s="15" t="e">
        <f t="shared" si="152"/>
        <v>#N/A</v>
      </c>
      <c r="BH66" s="56" t="e">
        <v>#REF!</v>
      </c>
      <c r="BI66" s="48" t="e">
        <v>#N/A</v>
      </c>
      <c r="BJ66" s="51" t="e">
        <v>#REF!</v>
      </c>
      <c r="BK66" s="51" t="e">
        <v>#REF!</v>
      </c>
      <c r="BL66" s="56" t="e">
        <f>IF(OR(BH66="",BH66="Interior"),NA(),SUM($BH$61:$BH66))</f>
        <v>#REF!</v>
      </c>
      <c r="BM66" s="48" t="e">
        <f>IF(BG66="",NA(),SUM($BI$60:$BI66))</f>
        <v>#N/A</v>
      </c>
      <c r="BN66" s="50" t="e">
        <v>#REF!</v>
      </c>
      <c r="BO66" s="52" t="e">
        <f>IF(BN66="",NA(),SUM($BN$60:$BN66))</f>
        <v>#REF!</v>
      </c>
      <c r="BP66" s="53" t="e">
        <v>#N/A</v>
      </c>
      <c r="BQ66" s="52" t="e">
        <v>#N/A</v>
      </c>
      <c r="BR66" s="54"/>
      <c r="BS66" s="50" t="e">
        <f ca="1"/>
        <v>#N/A</v>
      </c>
      <c r="BT66" s="55" t="e">
        <f ca="1"/>
        <v>#N/A</v>
      </c>
      <c r="BU66" s="55">
        <f t="array" aca="1" ref="BU66" ca="1">SUM(IF(ISNUMBER(BV$60:BV66),1,0))+IF($BF66&gt;Capas_VN_C2,1,0)</f>
        <v>1</v>
      </c>
      <c r="BV66" s="51" t="e">
        <f t="shared" ca="1" si="153"/>
        <v>#N/A</v>
      </c>
      <c r="BW66" s="51" t="e">
        <f t="shared" ca="1" si="154"/>
        <v>#N/A</v>
      </c>
      <c r="BX66" s="51" t="e">
        <f t="shared" ca="1" si="155"/>
        <v>#N/A</v>
      </c>
      <c r="BY66" s="48" t="str">
        <f t="shared" ca="1" si="156"/>
        <v>$BW$60:$BW$61</v>
      </c>
      <c r="BZ66" s="48" t="str">
        <f t="shared" ca="1" si="157"/>
        <v>$BX$60:$BX$61</v>
      </c>
      <c r="CA66" s="50" t="e">
        <f t="shared" ca="1" si="158"/>
        <v>#REF!</v>
      </c>
      <c r="CB66" s="214" t="e">
        <f t="shared" ca="1" si="128"/>
        <v>#N/A</v>
      </c>
      <c r="CC66" s="54"/>
      <c r="CD66" s="50" t="e">
        <f ca="1"/>
        <v>#N/A</v>
      </c>
      <c r="CE66" s="55" t="e">
        <f ca="1"/>
        <v>#N/A</v>
      </c>
      <c r="CF66" s="55">
        <f t="array" aca="1" ref="CF66" ca="1">SUM(IF(ISNUMBER(CG$60:CG66),1,0))+IF($BF66&gt;Capas_VN_C2,1,0)</f>
        <v>1</v>
      </c>
      <c r="CG66" s="51" t="e">
        <f t="shared" ca="1" si="159"/>
        <v>#N/A</v>
      </c>
      <c r="CH66" s="51" t="e">
        <f t="shared" ca="1" si="160"/>
        <v>#N/A</v>
      </c>
      <c r="CI66" s="51" t="e">
        <f t="shared" ca="1" si="161"/>
        <v>#N/A</v>
      </c>
      <c r="CJ66" s="48" t="str">
        <f t="shared" ca="1" si="162"/>
        <v>$CH$60:$CH$61</v>
      </c>
      <c r="CK66" s="48" t="str">
        <f t="shared" ca="1" si="163"/>
        <v>$CI$60:$CI$61</v>
      </c>
      <c r="CL66" s="50" t="e">
        <f t="shared" ca="1" si="164"/>
        <v>#REF!</v>
      </c>
      <c r="CM66" s="214" t="e">
        <f t="shared" ca="1" si="129"/>
        <v>#N/A</v>
      </c>
      <c r="CN66" s="54"/>
      <c r="CO66" s="50" t="e">
        <f ca="1"/>
        <v>#N/A</v>
      </c>
      <c r="CP66" s="55" t="e">
        <f ca="1"/>
        <v>#N/A</v>
      </c>
      <c r="CQ66" s="55">
        <f t="array" aca="1" ref="CQ66" ca="1">SUM(IF(ISNUMBER(CR$60:CR66),1,0))+IF($BF66&gt;Capas_VN_C2,1,0)</f>
        <v>1</v>
      </c>
      <c r="CR66" s="51" t="e">
        <f t="shared" ca="1" si="165"/>
        <v>#N/A</v>
      </c>
      <c r="CS66" s="51" t="e">
        <f t="shared" ca="1" si="166"/>
        <v>#N/A</v>
      </c>
      <c r="CT66" s="51" t="e">
        <f t="shared" ca="1" si="167"/>
        <v>#N/A</v>
      </c>
      <c r="CU66" s="48" t="str">
        <f t="shared" ca="1" si="168"/>
        <v>$CS$60:$CS$61</v>
      </c>
      <c r="CV66" s="48" t="str">
        <f t="shared" ca="1" si="169"/>
        <v>$CT$60:$CT$61</v>
      </c>
      <c r="CW66" s="50" t="e">
        <f t="shared" ca="1" si="170"/>
        <v>#REF!</v>
      </c>
      <c r="CX66" s="214" t="e">
        <f t="shared" ca="1" si="130"/>
        <v>#N/A</v>
      </c>
      <c r="CY66" s="54"/>
      <c r="CZ66" s="50" t="e">
        <v>#N/A</v>
      </c>
      <c r="DA66" s="55" t="e">
        <v>#N/A</v>
      </c>
      <c r="DB66" s="55">
        <f t="array" ref="DB66">SUM(IF(ISNUMBER(DC$60:DC66),1,0))+IF($BF66&gt;Capas_VN_C2,1,0)</f>
        <v>1</v>
      </c>
      <c r="DC66" s="51" t="e">
        <f t="shared" si="171"/>
        <v>#N/A</v>
      </c>
      <c r="DD66" s="51" t="e">
        <f t="shared" si="172"/>
        <v>#N/A</v>
      </c>
      <c r="DE66" s="51" t="e">
        <f t="shared" si="173"/>
        <v>#N/A</v>
      </c>
      <c r="DF66" s="48" t="str">
        <f t="shared" si="174"/>
        <v>$DD$60:$DD$61</v>
      </c>
      <c r="DG66" s="48" t="str">
        <f t="shared" si="175"/>
        <v>$DE$60:$DE$61</v>
      </c>
      <c r="DH66" s="50" t="e">
        <f t="shared" ca="1" si="176"/>
        <v>#REF!</v>
      </c>
      <c r="DI66" s="214" t="e">
        <f t="shared" ca="1" si="131"/>
        <v>#N/A</v>
      </c>
    </row>
    <row r="67" spans="1:113" x14ac:dyDescent="0.25">
      <c r="A67" s="43">
        <v>7</v>
      </c>
      <c r="B67" s="15" t="e">
        <f t="shared" si="132"/>
        <v>#N/A</v>
      </c>
      <c r="C67" s="56" t="e">
        <v>#N/A</v>
      </c>
      <c r="D67" s="48" t="e">
        <v>#N/A</v>
      </c>
      <c r="E67" s="51" t="e">
        <v>#N/A</v>
      </c>
      <c r="F67" s="51" t="e">
        <v>#N/A</v>
      </c>
      <c r="G67" s="56" t="e">
        <f>IF(OR(B67="",B67="Interior"),NA(),SUM($C$61:$C67))</f>
        <v>#N/A</v>
      </c>
      <c r="H67" s="48" t="e">
        <f>IF(B67="",NA(),SUM($D$60:$D67))</f>
        <v>#N/A</v>
      </c>
      <c r="I67" s="50" t="e">
        <v>#N/A</v>
      </c>
      <c r="J67" s="52" t="e">
        <f>IF(I67="",NA(),SUM($I$60:$I67))</f>
        <v>#N/A</v>
      </c>
      <c r="K67" s="53" t="e">
        <f ca="1"/>
        <v>#N/A</v>
      </c>
      <c r="L67" s="47" t="e">
        <f ca="1"/>
        <v>#N/A</v>
      </c>
      <c r="M67" s="54" t="e">
        <f t="shared" ca="1" si="133"/>
        <v>#N/A</v>
      </c>
      <c r="N67" s="50" t="e">
        <f ca="1"/>
        <v>#N/A</v>
      </c>
      <c r="O67" s="55" t="e">
        <f ca="1"/>
        <v>#N/A</v>
      </c>
      <c r="P67" s="50" t="e">
        <f t="shared" ca="1" si="116"/>
        <v>#N/A</v>
      </c>
      <c r="Q67" s="214" t="e">
        <f t="shared" ca="1" si="178"/>
        <v>#N/A</v>
      </c>
      <c r="R67" s="55">
        <f t="array" aca="1" ref="R67" ca="1">SUM(IF(ISNUMBER(S$60:S67),1,0))+IF($A67&gt;Capas_VN_C1,1,0)</f>
        <v>4</v>
      </c>
      <c r="S67" s="51" t="e">
        <f t="shared" ca="1" si="134"/>
        <v>#N/A</v>
      </c>
      <c r="T67" s="51" t="e">
        <f t="shared" ca="1" si="117"/>
        <v>#N/A</v>
      </c>
      <c r="U67" s="51" t="e">
        <f t="shared" ca="1" si="118"/>
        <v>#N/A</v>
      </c>
      <c r="V67" s="48" t="str">
        <f t="shared" ca="1" si="119"/>
        <v>$T$63:$T$64</v>
      </c>
      <c r="W67" s="48" t="str">
        <f t="shared" ca="1" si="120"/>
        <v>$U$63:$U$64</v>
      </c>
      <c r="X67" s="54" t="e">
        <f t="shared" ca="1" si="135"/>
        <v>#N/A</v>
      </c>
      <c r="Y67" s="50" t="e">
        <f ca="1"/>
        <v>#N/A</v>
      </c>
      <c r="Z67" s="55" t="e">
        <f ca="1"/>
        <v>#N/A</v>
      </c>
      <c r="AA67" s="55">
        <f t="array" aca="1" ref="AA67" ca="1">SUM(IF(ISNUMBER(AB$60:AB67),1,0))+IF($A67&gt;Capas_VN_C1,1,0)</f>
        <v>6</v>
      </c>
      <c r="AB67" s="51" t="e">
        <f t="shared" ca="1" si="136"/>
        <v>#N/A</v>
      </c>
      <c r="AC67" s="51" t="e">
        <f t="shared" ca="1" si="137"/>
        <v>#N/A</v>
      </c>
      <c r="AD67" s="51" t="e">
        <f t="shared" ca="1" si="138"/>
        <v>#N/A</v>
      </c>
      <c r="AE67" s="48" t="str">
        <f t="shared" ca="1" si="139"/>
        <v>$AC$65:$AC$66</v>
      </c>
      <c r="AF67" s="48" t="str">
        <f t="shared" ca="1" si="140"/>
        <v>$AD$65:$AD$66</v>
      </c>
      <c r="AG67" s="50" t="e">
        <f t="shared" ca="1" si="121"/>
        <v>#N/A</v>
      </c>
      <c r="AH67" s="214" t="e">
        <f t="shared" ca="1" si="122"/>
        <v>#N/A</v>
      </c>
      <c r="AI67" s="54" t="e">
        <f t="shared" ca="1" si="141"/>
        <v>#N/A</v>
      </c>
      <c r="AJ67" s="50" t="e">
        <f ca="1"/>
        <v>#N/A</v>
      </c>
      <c r="AK67" s="55" t="e">
        <f ca="1"/>
        <v>#N/A</v>
      </c>
      <c r="AL67" s="55">
        <f t="array" aca="1" ref="AL67" ca="1">SUM(IF(ISNUMBER(AM$60:AM67),1,0))+IF($A67&gt;Capas_VN_C1,1,0)</f>
        <v>6</v>
      </c>
      <c r="AM67" s="51" t="e">
        <f t="shared" ca="1" si="142"/>
        <v>#N/A</v>
      </c>
      <c r="AN67" s="51" t="e">
        <f t="shared" ca="1" si="143"/>
        <v>#N/A</v>
      </c>
      <c r="AO67" s="51" t="e">
        <f t="shared" ca="1" si="144"/>
        <v>#N/A</v>
      </c>
      <c r="AP67" s="48" t="str">
        <f t="shared" ca="1" si="145"/>
        <v>$AN$65:$AN$66</v>
      </c>
      <c r="AQ67" s="48" t="str">
        <f t="shared" ca="1" si="146"/>
        <v>$AO$65:$AO$66</v>
      </c>
      <c r="AR67" s="50" t="e">
        <f t="shared" ca="1" si="123"/>
        <v>#N/A</v>
      </c>
      <c r="AS67" s="214" t="e">
        <f t="shared" ca="1" si="124"/>
        <v>#N/A</v>
      </c>
      <c r="AT67" s="54" t="e">
        <f t="shared" ca="1" si="147"/>
        <v>#N/A</v>
      </c>
      <c r="AU67" s="50" t="e">
        <f ca="1"/>
        <v>#N/A</v>
      </c>
      <c r="AV67" s="55" t="e">
        <f ca="1"/>
        <v>#N/A</v>
      </c>
      <c r="AW67" s="55">
        <f t="array" aca="1" ref="AW67" ca="1">SUM(IF(ISNUMBER(AX$60:AX67),1,0))+IF($A67&gt;Capas_VN_C1,1,0)</f>
        <v>3</v>
      </c>
      <c r="AX67" s="50" t="e">
        <f t="shared" ca="1" si="148"/>
        <v>#N/A</v>
      </c>
      <c r="AY67" s="51" t="e">
        <f t="shared" ca="1" si="149"/>
        <v>#N/A</v>
      </c>
      <c r="AZ67" s="51" t="e">
        <f t="shared" ca="1" si="125"/>
        <v>#N/A</v>
      </c>
      <c r="BA67" s="48" t="str">
        <f t="shared" ca="1" si="150"/>
        <v>$AY$62:$AY$63</v>
      </c>
      <c r="BB67" s="48" t="str">
        <f t="shared" ca="1" si="151"/>
        <v>$AZ$62:$AZ$63</v>
      </c>
      <c r="BC67" s="50" t="e">
        <f t="shared" ca="1" si="126"/>
        <v>#N/A</v>
      </c>
      <c r="BD67" s="214" t="e">
        <f t="shared" ca="1" si="127"/>
        <v>#N/A</v>
      </c>
      <c r="BF67" s="43">
        <v>7</v>
      </c>
      <c r="BG67" s="15" t="e">
        <f t="shared" si="152"/>
        <v>#N/A</v>
      </c>
      <c r="BH67" s="56" t="e">
        <v>#REF!</v>
      </c>
      <c r="BI67" s="48" t="e">
        <v>#N/A</v>
      </c>
      <c r="BJ67" s="51" t="e">
        <v>#REF!</v>
      </c>
      <c r="BK67" s="51" t="e">
        <v>#REF!</v>
      </c>
      <c r="BL67" s="56" t="e">
        <f>IF(OR(BH67="",BH67="Interior"),NA(),SUM($BH$61:$BH67))</f>
        <v>#REF!</v>
      </c>
      <c r="BM67" s="48" t="e">
        <f>IF(BG67="",NA(),SUM($BI$60:$BI67))</f>
        <v>#N/A</v>
      </c>
      <c r="BN67" s="50" t="e">
        <v>#REF!</v>
      </c>
      <c r="BO67" s="52" t="e">
        <f>IF(BN67="",NA(),SUM($BN$60:$BN67))</f>
        <v>#REF!</v>
      </c>
      <c r="BP67" s="53" t="e">
        <v>#N/A</v>
      </c>
      <c r="BQ67" s="52" t="e">
        <v>#N/A</v>
      </c>
      <c r="BR67" s="54"/>
      <c r="BS67" s="50" t="e">
        <f ca="1"/>
        <v>#N/A</v>
      </c>
      <c r="BT67" s="55" t="e">
        <f ca="1"/>
        <v>#N/A</v>
      </c>
      <c r="BU67" s="55">
        <f t="array" aca="1" ref="BU67" ca="1">SUM(IF(ISNUMBER(BV$60:BV67),1,0))+IF($BF67&gt;Capas_VN_C2,1,0)</f>
        <v>1</v>
      </c>
      <c r="BV67" s="51" t="e">
        <f t="shared" ca="1" si="153"/>
        <v>#N/A</v>
      </c>
      <c r="BW67" s="51" t="e">
        <f t="shared" ca="1" si="154"/>
        <v>#N/A</v>
      </c>
      <c r="BX67" s="51" t="e">
        <f t="shared" ca="1" si="155"/>
        <v>#N/A</v>
      </c>
      <c r="BY67" s="48" t="str">
        <f t="shared" ca="1" si="156"/>
        <v>$BW$60:$BW$61</v>
      </c>
      <c r="BZ67" s="48" t="str">
        <f t="shared" ca="1" si="157"/>
        <v>$BX$60:$BX$61</v>
      </c>
      <c r="CA67" s="50" t="e">
        <f t="shared" ca="1" si="158"/>
        <v>#REF!</v>
      </c>
      <c r="CB67" s="214" t="e">
        <f t="shared" ca="1" si="128"/>
        <v>#N/A</v>
      </c>
      <c r="CC67" s="54"/>
      <c r="CD67" s="50" t="e">
        <f ca="1"/>
        <v>#N/A</v>
      </c>
      <c r="CE67" s="55" t="e">
        <f ca="1"/>
        <v>#N/A</v>
      </c>
      <c r="CF67" s="55">
        <f t="array" aca="1" ref="CF67" ca="1">SUM(IF(ISNUMBER(CG$60:CG67),1,0))+IF($BF67&gt;Capas_VN_C2,1,0)</f>
        <v>1</v>
      </c>
      <c r="CG67" s="51" t="e">
        <f t="shared" ca="1" si="159"/>
        <v>#N/A</v>
      </c>
      <c r="CH67" s="51" t="e">
        <f t="shared" ca="1" si="160"/>
        <v>#N/A</v>
      </c>
      <c r="CI67" s="51" t="e">
        <f t="shared" ca="1" si="161"/>
        <v>#N/A</v>
      </c>
      <c r="CJ67" s="48" t="str">
        <f t="shared" ca="1" si="162"/>
        <v>$CH$60:$CH$61</v>
      </c>
      <c r="CK67" s="48" t="str">
        <f t="shared" ca="1" si="163"/>
        <v>$CI$60:$CI$61</v>
      </c>
      <c r="CL67" s="50" t="e">
        <f t="shared" ca="1" si="164"/>
        <v>#REF!</v>
      </c>
      <c r="CM67" s="214" t="e">
        <f t="shared" ca="1" si="129"/>
        <v>#N/A</v>
      </c>
      <c r="CN67" s="54"/>
      <c r="CO67" s="50" t="e">
        <f ca="1"/>
        <v>#N/A</v>
      </c>
      <c r="CP67" s="55" t="e">
        <f ca="1"/>
        <v>#N/A</v>
      </c>
      <c r="CQ67" s="55">
        <f t="array" aca="1" ref="CQ67" ca="1">SUM(IF(ISNUMBER(CR$60:CR67),1,0))+IF($BF67&gt;Capas_VN_C2,1,0)</f>
        <v>1</v>
      </c>
      <c r="CR67" s="51" t="e">
        <f t="shared" ca="1" si="165"/>
        <v>#N/A</v>
      </c>
      <c r="CS67" s="51" t="e">
        <f t="shared" ca="1" si="166"/>
        <v>#N/A</v>
      </c>
      <c r="CT67" s="51" t="e">
        <f t="shared" ca="1" si="167"/>
        <v>#N/A</v>
      </c>
      <c r="CU67" s="48" t="str">
        <f t="shared" ca="1" si="168"/>
        <v>$CS$60:$CS$61</v>
      </c>
      <c r="CV67" s="48" t="str">
        <f t="shared" ca="1" si="169"/>
        <v>$CT$60:$CT$61</v>
      </c>
      <c r="CW67" s="50" t="e">
        <f t="shared" ca="1" si="170"/>
        <v>#REF!</v>
      </c>
      <c r="CX67" s="214" t="e">
        <f t="shared" ca="1" si="130"/>
        <v>#N/A</v>
      </c>
      <c r="CY67" s="54"/>
      <c r="CZ67" s="50" t="e">
        <v>#N/A</v>
      </c>
      <c r="DA67" s="55" t="e">
        <v>#N/A</v>
      </c>
      <c r="DB67" s="55">
        <f t="array" ref="DB67">SUM(IF(ISNUMBER(DC$60:DC67),1,0))+IF($BF67&gt;Capas_VN_C2,1,0)</f>
        <v>1</v>
      </c>
      <c r="DC67" s="51" t="e">
        <f t="shared" si="171"/>
        <v>#N/A</v>
      </c>
      <c r="DD67" s="51" t="e">
        <f t="shared" si="172"/>
        <v>#N/A</v>
      </c>
      <c r="DE67" s="51" t="e">
        <f t="shared" si="173"/>
        <v>#N/A</v>
      </c>
      <c r="DF67" s="48" t="str">
        <f t="shared" si="174"/>
        <v>$DD$60:$DD$61</v>
      </c>
      <c r="DG67" s="48" t="str">
        <f t="shared" si="175"/>
        <v>$DE$60:$DE$61</v>
      </c>
      <c r="DH67" s="50" t="e">
        <f t="shared" ca="1" si="176"/>
        <v>#REF!</v>
      </c>
      <c r="DI67" s="214" t="e">
        <f t="shared" ca="1" si="131"/>
        <v>#N/A</v>
      </c>
    </row>
    <row r="68" spans="1:113" x14ac:dyDescent="0.25">
      <c r="A68" s="43">
        <v>8</v>
      </c>
      <c r="B68" s="15" t="e">
        <f t="shared" si="132"/>
        <v>#N/A</v>
      </c>
      <c r="C68" s="56" t="e">
        <v>#N/A</v>
      </c>
      <c r="D68" s="48" t="e">
        <v>#N/A</v>
      </c>
      <c r="E68" s="51" t="e">
        <v>#N/A</v>
      </c>
      <c r="F68" s="51" t="e">
        <v>#N/A</v>
      </c>
      <c r="G68" s="56" t="e">
        <f>IF(OR(B68="",B68="Interior"),NA(),SUM($C$61:$C68))</f>
        <v>#N/A</v>
      </c>
      <c r="H68" s="48" t="e">
        <f>IF(B68="",NA(),SUM($D$60:$D68))</f>
        <v>#N/A</v>
      </c>
      <c r="I68" s="50" t="e">
        <v>#N/A</v>
      </c>
      <c r="J68" s="52" t="e">
        <f>IF(I68="",NA(),SUM($I$60:$I68))</f>
        <v>#N/A</v>
      </c>
      <c r="K68" s="53" t="e">
        <f ca="1"/>
        <v>#N/A</v>
      </c>
      <c r="L68" s="47" t="e">
        <f ca="1"/>
        <v>#N/A</v>
      </c>
      <c r="M68" s="54" t="e">
        <f t="shared" ca="1" si="133"/>
        <v>#N/A</v>
      </c>
      <c r="N68" s="50" t="e">
        <f ca="1"/>
        <v>#N/A</v>
      </c>
      <c r="O68" s="55" t="e">
        <f ca="1"/>
        <v>#N/A</v>
      </c>
      <c r="P68" s="50" t="e">
        <f t="shared" ca="1" si="116"/>
        <v>#N/A</v>
      </c>
      <c r="Q68" s="214" t="e">
        <f t="shared" ca="1" si="178"/>
        <v>#N/A</v>
      </c>
      <c r="R68" s="55">
        <f t="array" aca="1" ref="R68" ca="1">SUM(IF(ISNUMBER(S$60:S68),1,0))+IF($A68&gt;Capas_VN_C1,1,0)</f>
        <v>4</v>
      </c>
      <c r="S68" s="51" t="e">
        <f t="shared" ca="1" si="134"/>
        <v>#N/A</v>
      </c>
      <c r="T68" s="51" t="e">
        <f t="shared" ca="1" si="117"/>
        <v>#N/A</v>
      </c>
      <c r="U68" s="51" t="e">
        <f t="shared" ca="1" si="118"/>
        <v>#N/A</v>
      </c>
      <c r="V68" s="48" t="str">
        <f t="shared" ca="1" si="119"/>
        <v>$T$63:$T$64</v>
      </c>
      <c r="W68" s="48" t="str">
        <f t="shared" ca="1" si="120"/>
        <v>$U$63:$U$64</v>
      </c>
      <c r="X68" s="54" t="e">
        <f t="shared" ca="1" si="135"/>
        <v>#N/A</v>
      </c>
      <c r="Y68" s="50" t="e">
        <f ca="1"/>
        <v>#N/A</v>
      </c>
      <c r="Z68" s="55" t="e">
        <f ca="1"/>
        <v>#N/A</v>
      </c>
      <c r="AA68" s="55">
        <f t="array" aca="1" ref="AA68" ca="1">SUM(IF(ISNUMBER(AB$60:AB68),1,0))+IF($A68&gt;Capas_VN_C1,1,0)</f>
        <v>6</v>
      </c>
      <c r="AB68" s="51" t="e">
        <f t="shared" ca="1" si="136"/>
        <v>#N/A</v>
      </c>
      <c r="AC68" s="51" t="e">
        <f t="shared" ca="1" si="137"/>
        <v>#N/A</v>
      </c>
      <c r="AD68" s="51" t="e">
        <f t="shared" ca="1" si="138"/>
        <v>#N/A</v>
      </c>
      <c r="AE68" s="48" t="str">
        <f t="shared" ca="1" si="139"/>
        <v>$AC$65:$AC$66</v>
      </c>
      <c r="AF68" s="48" t="str">
        <f t="shared" ca="1" si="140"/>
        <v>$AD$65:$AD$66</v>
      </c>
      <c r="AG68" s="50" t="e">
        <f t="shared" ca="1" si="121"/>
        <v>#N/A</v>
      </c>
      <c r="AH68" s="214" t="e">
        <f t="shared" ca="1" si="122"/>
        <v>#N/A</v>
      </c>
      <c r="AI68" s="54" t="e">
        <f t="shared" ca="1" si="141"/>
        <v>#N/A</v>
      </c>
      <c r="AJ68" s="50" t="e">
        <f ca="1"/>
        <v>#N/A</v>
      </c>
      <c r="AK68" s="55" t="e">
        <f ca="1"/>
        <v>#N/A</v>
      </c>
      <c r="AL68" s="55">
        <f t="array" aca="1" ref="AL68" ca="1">SUM(IF(ISNUMBER(AM$60:AM68),1,0))+IF($A68&gt;Capas_VN_C1,1,0)</f>
        <v>6</v>
      </c>
      <c r="AM68" s="51" t="e">
        <f t="shared" ca="1" si="142"/>
        <v>#N/A</v>
      </c>
      <c r="AN68" s="51" t="e">
        <f t="shared" ca="1" si="143"/>
        <v>#N/A</v>
      </c>
      <c r="AO68" s="51" t="e">
        <f t="shared" ca="1" si="144"/>
        <v>#N/A</v>
      </c>
      <c r="AP68" s="48" t="str">
        <f t="shared" ca="1" si="145"/>
        <v>$AN$65:$AN$66</v>
      </c>
      <c r="AQ68" s="48" t="str">
        <f t="shared" ca="1" si="146"/>
        <v>$AO$65:$AO$66</v>
      </c>
      <c r="AR68" s="50" t="e">
        <f t="shared" ca="1" si="123"/>
        <v>#N/A</v>
      </c>
      <c r="AS68" s="214" t="e">
        <f t="shared" ca="1" si="124"/>
        <v>#N/A</v>
      </c>
      <c r="AT68" s="54" t="e">
        <f t="shared" ca="1" si="147"/>
        <v>#N/A</v>
      </c>
      <c r="AU68" s="50" t="e">
        <f ca="1"/>
        <v>#N/A</v>
      </c>
      <c r="AV68" s="55" t="e">
        <f ca="1"/>
        <v>#N/A</v>
      </c>
      <c r="AW68" s="55">
        <f t="array" aca="1" ref="AW68" ca="1">SUM(IF(ISNUMBER(AX$60:AX68),1,0))+IF($A68&gt;Capas_VN_C1,1,0)</f>
        <v>3</v>
      </c>
      <c r="AX68" s="50" t="e">
        <f t="shared" ca="1" si="148"/>
        <v>#N/A</v>
      </c>
      <c r="AY68" s="51" t="e">
        <f t="shared" ca="1" si="149"/>
        <v>#N/A</v>
      </c>
      <c r="AZ68" s="51" t="e">
        <f t="shared" ca="1" si="125"/>
        <v>#N/A</v>
      </c>
      <c r="BA68" s="48" t="str">
        <f t="shared" ca="1" si="150"/>
        <v>$AY$62:$AY$63</v>
      </c>
      <c r="BB68" s="48" t="str">
        <f t="shared" ca="1" si="151"/>
        <v>$AZ$62:$AZ$63</v>
      </c>
      <c r="BC68" s="50" t="e">
        <f t="shared" ca="1" si="126"/>
        <v>#N/A</v>
      </c>
      <c r="BD68" s="214" t="e">
        <f t="shared" ca="1" si="127"/>
        <v>#N/A</v>
      </c>
      <c r="BF68" s="43">
        <v>8</v>
      </c>
      <c r="BG68" s="15" t="e">
        <f t="shared" si="152"/>
        <v>#N/A</v>
      </c>
      <c r="BH68" s="56" t="e">
        <v>#REF!</v>
      </c>
      <c r="BI68" s="48" t="e">
        <v>#N/A</v>
      </c>
      <c r="BJ68" s="51" t="e">
        <v>#REF!</v>
      </c>
      <c r="BK68" s="51" t="e">
        <v>#REF!</v>
      </c>
      <c r="BL68" s="56" t="e">
        <f>IF(OR(BH68="",BH68="Interior"),NA(),SUM($BH$61:$BH68))</f>
        <v>#REF!</v>
      </c>
      <c r="BM68" s="48" t="e">
        <f>IF(BG68="",NA(),SUM($BI$60:$BI68))</f>
        <v>#N/A</v>
      </c>
      <c r="BN68" s="50" t="e">
        <v>#REF!</v>
      </c>
      <c r="BO68" s="52" t="e">
        <f>IF(BN68="",NA(),SUM($BN$60:$BN68))</f>
        <v>#REF!</v>
      </c>
      <c r="BP68" s="53" t="e">
        <v>#N/A</v>
      </c>
      <c r="BQ68" s="52" t="e">
        <v>#N/A</v>
      </c>
      <c r="BR68" s="54"/>
      <c r="BS68" s="50" t="e">
        <f ca="1"/>
        <v>#N/A</v>
      </c>
      <c r="BT68" s="55" t="e">
        <f ca="1"/>
        <v>#N/A</v>
      </c>
      <c r="BU68" s="55">
        <f t="array" aca="1" ref="BU68" ca="1">SUM(IF(ISNUMBER(BV$60:BV68),1,0))+IF($BF68&gt;Capas_VN_C2,1,0)</f>
        <v>1</v>
      </c>
      <c r="BV68" s="51" t="e">
        <f t="shared" ca="1" si="153"/>
        <v>#N/A</v>
      </c>
      <c r="BW68" s="51" t="e">
        <f t="shared" ca="1" si="154"/>
        <v>#N/A</v>
      </c>
      <c r="BX68" s="51" t="e">
        <f t="shared" ca="1" si="155"/>
        <v>#N/A</v>
      </c>
      <c r="BY68" s="48" t="str">
        <f t="shared" ca="1" si="156"/>
        <v>$BW$60:$BW$61</v>
      </c>
      <c r="BZ68" s="48" t="str">
        <f t="shared" ca="1" si="157"/>
        <v>$BX$60:$BX$61</v>
      </c>
      <c r="CA68" s="50" t="e">
        <f t="shared" ca="1" si="158"/>
        <v>#REF!</v>
      </c>
      <c r="CB68" s="214" t="e">
        <f t="shared" ca="1" si="128"/>
        <v>#N/A</v>
      </c>
      <c r="CC68" s="54"/>
      <c r="CD68" s="50" t="e">
        <f ca="1"/>
        <v>#N/A</v>
      </c>
      <c r="CE68" s="55" t="e">
        <f ca="1"/>
        <v>#N/A</v>
      </c>
      <c r="CF68" s="55">
        <f t="array" aca="1" ref="CF68" ca="1">SUM(IF(ISNUMBER(CG$60:CG68),1,0))+IF($BF68&gt;Capas_VN_C2,1,0)</f>
        <v>1</v>
      </c>
      <c r="CG68" s="51" t="e">
        <f t="shared" ca="1" si="159"/>
        <v>#N/A</v>
      </c>
      <c r="CH68" s="51" t="e">
        <f t="shared" ca="1" si="160"/>
        <v>#N/A</v>
      </c>
      <c r="CI68" s="51" t="e">
        <f t="shared" ca="1" si="161"/>
        <v>#N/A</v>
      </c>
      <c r="CJ68" s="48" t="str">
        <f t="shared" ca="1" si="162"/>
        <v>$CH$60:$CH$61</v>
      </c>
      <c r="CK68" s="48" t="str">
        <f t="shared" ca="1" si="163"/>
        <v>$CI$60:$CI$61</v>
      </c>
      <c r="CL68" s="50" t="e">
        <f t="shared" ca="1" si="164"/>
        <v>#REF!</v>
      </c>
      <c r="CM68" s="214" t="e">
        <f t="shared" ca="1" si="129"/>
        <v>#N/A</v>
      </c>
      <c r="CN68" s="54"/>
      <c r="CO68" s="50" t="e">
        <f ca="1"/>
        <v>#N/A</v>
      </c>
      <c r="CP68" s="55" t="e">
        <f ca="1"/>
        <v>#N/A</v>
      </c>
      <c r="CQ68" s="55">
        <f t="array" aca="1" ref="CQ68" ca="1">SUM(IF(ISNUMBER(CR$60:CR68),1,0))+IF($BF68&gt;Capas_VN_C2,1,0)</f>
        <v>1</v>
      </c>
      <c r="CR68" s="51" t="e">
        <f t="shared" ca="1" si="165"/>
        <v>#N/A</v>
      </c>
      <c r="CS68" s="51" t="e">
        <f t="shared" ca="1" si="166"/>
        <v>#N/A</v>
      </c>
      <c r="CT68" s="51" t="e">
        <f t="shared" ca="1" si="167"/>
        <v>#N/A</v>
      </c>
      <c r="CU68" s="48" t="str">
        <f t="shared" ca="1" si="168"/>
        <v>$CS$60:$CS$61</v>
      </c>
      <c r="CV68" s="48" t="str">
        <f t="shared" ca="1" si="169"/>
        <v>$CT$60:$CT$61</v>
      </c>
      <c r="CW68" s="50" t="e">
        <f t="shared" ca="1" si="170"/>
        <v>#REF!</v>
      </c>
      <c r="CX68" s="214" t="e">
        <f t="shared" ca="1" si="130"/>
        <v>#N/A</v>
      </c>
      <c r="CY68" s="54"/>
      <c r="CZ68" s="50" t="e">
        <v>#N/A</v>
      </c>
      <c r="DA68" s="55" t="e">
        <v>#N/A</v>
      </c>
      <c r="DB68" s="55">
        <f t="array" ref="DB68">SUM(IF(ISNUMBER(DC$60:DC68),1,0))+IF($BF68&gt;Capas_VN_C2,1,0)</f>
        <v>1</v>
      </c>
      <c r="DC68" s="51" t="e">
        <f t="shared" si="171"/>
        <v>#N/A</v>
      </c>
      <c r="DD68" s="51" t="e">
        <f t="shared" si="172"/>
        <v>#N/A</v>
      </c>
      <c r="DE68" s="51" t="e">
        <f t="shared" si="173"/>
        <v>#N/A</v>
      </c>
      <c r="DF68" s="48" t="str">
        <f t="shared" si="174"/>
        <v>$DD$60:$DD$61</v>
      </c>
      <c r="DG68" s="48" t="str">
        <f t="shared" si="175"/>
        <v>$DE$60:$DE$61</v>
      </c>
      <c r="DH68" s="50" t="e">
        <f t="shared" ca="1" si="176"/>
        <v>#REF!</v>
      </c>
      <c r="DI68" s="214" t="e">
        <f t="shared" ca="1" si="131"/>
        <v>#N/A</v>
      </c>
    </row>
    <row r="69" spans="1:113" x14ac:dyDescent="0.25">
      <c r="A69" s="43">
        <v>9</v>
      </c>
      <c r="B69" s="15" t="e">
        <f t="shared" si="132"/>
        <v>#N/A</v>
      </c>
      <c r="C69" s="56" t="e">
        <v>#N/A</v>
      </c>
      <c r="D69" s="48" t="e">
        <v>#N/A</v>
      </c>
      <c r="E69" s="51" t="e">
        <v>#N/A</v>
      </c>
      <c r="F69" s="51" t="e">
        <v>#N/A</v>
      </c>
      <c r="G69" s="56" t="e">
        <f>IF(OR(B69="",B69="Interior"),NA(),SUM($C$61:$C69))</f>
        <v>#N/A</v>
      </c>
      <c r="H69" s="48" t="e">
        <f>IF(B69="",NA(),SUM($D$60:$D69))</f>
        <v>#N/A</v>
      </c>
      <c r="I69" s="50" t="e">
        <v>#N/A</v>
      </c>
      <c r="J69" s="52" t="e">
        <f>IF(I69="",NA(),SUM($I$60:$I69))</f>
        <v>#N/A</v>
      </c>
      <c r="K69" s="53" t="e">
        <f ca="1"/>
        <v>#N/A</v>
      </c>
      <c r="L69" s="47" t="e">
        <f ca="1"/>
        <v>#N/A</v>
      </c>
      <c r="M69" s="54" t="e">
        <f t="shared" ca="1" si="133"/>
        <v>#N/A</v>
      </c>
      <c r="N69" s="50" t="e">
        <f ca="1"/>
        <v>#N/A</v>
      </c>
      <c r="O69" s="55" t="e">
        <f ca="1"/>
        <v>#N/A</v>
      </c>
      <c r="P69" s="50" t="e">
        <f t="shared" ca="1" si="116"/>
        <v>#N/A</v>
      </c>
      <c r="Q69" s="214" t="e">
        <f t="shared" ca="1" si="178"/>
        <v>#N/A</v>
      </c>
      <c r="R69" s="55">
        <f t="array" aca="1" ref="R69" ca="1">SUM(IF(ISNUMBER(S$60:S69),1,0))+IF($A69&gt;Capas_VN_C1,1,0)</f>
        <v>4</v>
      </c>
      <c r="S69" s="51" t="e">
        <f t="shared" ca="1" si="134"/>
        <v>#N/A</v>
      </c>
      <c r="T69" s="51" t="e">
        <f t="shared" ca="1" si="117"/>
        <v>#N/A</v>
      </c>
      <c r="U69" s="51" t="e">
        <f t="shared" ca="1" si="118"/>
        <v>#N/A</v>
      </c>
      <c r="V69" s="48" t="str">
        <f t="shared" ca="1" si="119"/>
        <v>$T$63:$T$64</v>
      </c>
      <c r="W69" s="48" t="str">
        <f t="shared" ca="1" si="120"/>
        <v>$U$63:$U$64</v>
      </c>
      <c r="X69" s="54" t="e">
        <f t="shared" ca="1" si="135"/>
        <v>#N/A</v>
      </c>
      <c r="Y69" s="50" t="e">
        <f ca="1"/>
        <v>#N/A</v>
      </c>
      <c r="Z69" s="55" t="e">
        <f ca="1"/>
        <v>#N/A</v>
      </c>
      <c r="AA69" s="55">
        <f t="array" aca="1" ref="AA69" ca="1">SUM(IF(ISNUMBER(AB$60:AB69),1,0))+IF($A69&gt;Capas_VN_C1,1,0)</f>
        <v>6</v>
      </c>
      <c r="AB69" s="51" t="e">
        <f t="shared" ca="1" si="136"/>
        <v>#N/A</v>
      </c>
      <c r="AC69" s="51" t="e">
        <f t="shared" ca="1" si="137"/>
        <v>#N/A</v>
      </c>
      <c r="AD69" s="51" t="e">
        <f t="shared" ca="1" si="138"/>
        <v>#N/A</v>
      </c>
      <c r="AE69" s="48" t="str">
        <f t="shared" ca="1" si="139"/>
        <v>$AC$65:$AC$66</v>
      </c>
      <c r="AF69" s="48" t="str">
        <f t="shared" ca="1" si="140"/>
        <v>$AD$65:$AD$66</v>
      </c>
      <c r="AG69" s="50" t="e">
        <f t="shared" ca="1" si="121"/>
        <v>#N/A</v>
      </c>
      <c r="AH69" s="214" t="e">
        <f t="shared" ca="1" si="122"/>
        <v>#N/A</v>
      </c>
      <c r="AI69" s="54" t="e">
        <f t="shared" ca="1" si="141"/>
        <v>#N/A</v>
      </c>
      <c r="AJ69" s="50" t="e">
        <f ca="1"/>
        <v>#N/A</v>
      </c>
      <c r="AK69" s="55" t="e">
        <f ca="1"/>
        <v>#N/A</v>
      </c>
      <c r="AL69" s="55">
        <f t="array" aca="1" ref="AL69" ca="1">SUM(IF(ISNUMBER(AM$60:AM69),1,0))+IF($A69&gt;Capas_VN_C1,1,0)</f>
        <v>6</v>
      </c>
      <c r="AM69" s="51" t="e">
        <f t="shared" ca="1" si="142"/>
        <v>#N/A</v>
      </c>
      <c r="AN69" s="51" t="e">
        <f t="shared" ca="1" si="143"/>
        <v>#N/A</v>
      </c>
      <c r="AO69" s="51" t="e">
        <f t="shared" ca="1" si="144"/>
        <v>#N/A</v>
      </c>
      <c r="AP69" s="48" t="str">
        <f t="shared" ca="1" si="145"/>
        <v>$AN$65:$AN$66</v>
      </c>
      <c r="AQ69" s="48" t="str">
        <f t="shared" ca="1" si="146"/>
        <v>$AO$65:$AO$66</v>
      </c>
      <c r="AR69" s="50" t="e">
        <f t="shared" ca="1" si="123"/>
        <v>#N/A</v>
      </c>
      <c r="AS69" s="214" t="e">
        <f t="shared" ca="1" si="124"/>
        <v>#N/A</v>
      </c>
      <c r="AT69" s="54" t="e">
        <f t="shared" ca="1" si="147"/>
        <v>#N/A</v>
      </c>
      <c r="AU69" s="50" t="e">
        <f ca="1"/>
        <v>#N/A</v>
      </c>
      <c r="AV69" s="55" t="e">
        <f ca="1"/>
        <v>#N/A</v>
      </c>
      <c r="AW69" s="55">
        <f t="array" aca="1" ref="AW69" ca="1">SUM(IF(ISNUMBER(AX$60:AX69),1,0))+IF($A69&gt;Capas_VN_C1,1,0)</f>
        <v>3</v>
      </c>
      <c r="AX69" s="50" t="e">
        <f t="shared" ca="1" si="148"/>
        <v>#N/A</v>
      </c>
      <c r="AY69" s="51" t="e">
        <f t="shared" ca="1" si="149"/>
        <v>#N/A</v>
      </c>
      <c r="AZ69" s="51" t="e">
        <f t="shared" ca="1" si="125"/>
        <v>#N/A</v>
      </c>
      <c r="BA69" s="48" t="str">
        <f t="shared" ca="1" si="150"/>
        <v>$AY$62:$AY$63</v>
      </c>
      <c r="BB69" s="48" t="str">
        <f t="shared" ca="1" si="151"/>
        <v>$AZ$62:$AZ$63</v>
      </c>
      <c r="BC69" s="50" t="e">
        <f t="shared" ca="1" si="126"/>
        <v>#N/A</v>
      </c>
      <c r="BD69" s="214" t="e">
        <f t="shared" ca="1" si="127"/>
        <v>#N/A</v>
      </c>
      <c r="BF69" s="43">
        <v>9</v>
      </c>
      <c r="BG69" s="15" t="e">
        <f t="shared" si="152"/>
        <v>#N/A</v>
      </c>
      <c r="BH69" s="56" t="e">
        <v>#REF!</v>
      </c>
      <c r="BI69" s="48" t="e">
        <v>#N/A</v>
      </c>
      <c r="BJ69" s="51" t="e">
        <v>#REF!</v>
      </c>
      <c r="BK69" s="51" t="e">
        <v>#REF!</v>
      </c>
      <c r="BL69" s="56" t="e">
        <f>IF(OR(BH69="",BH69="Interior"),NA(),SUM($BH$61:$BH69))</f>
        <v>#REF!</v>
      </c>
      <c r="BM69" s="48" t="e">
        <f>IF(BG69="",NA(),SUM($BI$60:$BI69))</f>
        <v>#N/A</v>
      </c>
      <c r="BN69" s="50" t="e">
        <v>#REF!</v>
      </c>
      <c r="BO69" s="52" t="e">
        <f>IF(BN69="",NA(),SUM($BN$60:$BN69))</f>
        <v>#REF!</v>
      </c>
      <c r="BP69" s="53" t="e">
        <v>#N/A</v>
      </c>
      <c r="BQ69" s="52" t="e">
        <v>#N/A</v>
      </c>
      <c r="BR69" s="54"/>
      <c r="BS69" s="50" t="e">
        <f ca="1"/>
        <v>#N/A</v>
      </c>
      <c r="BT69" s="55" t="e">
        <f ca="1"/>
        <v>#N/A</v>
      </c>
      <c r="BU69" s="55">
        <f t="array" aca="1" ref="BU69" ca="1">SUM(IF(ISNUMBER(BV$60:BV69),1,0))+IF($BF69&gt;Capas_VN_C2,1,0)</f>
        <v>1</v>
      </c>
      <c r="BV69" s="51" t="e">
        <f t="shared" ca="1" si="153"/>
        <v>#N/A</v>
      </c>
      <c r="BW69" s="51" t="e">
        <f t="shared" ca="1" si="154"/>
        <v>#N/A</v>
      </c>
      <c r="BX69" s="51" t="e">
        <f t="shared" ca="1" si="155"/>
        <v>#N/A</v>
      </c>
      <c r="BY69" s="48" t="str">
        <f t="shared" ca="1" si="156"/>
        <v>$BW$60:$BW$61</v>
      </c>
      <c r="BZ69" s="48" t="str">
        <f t="shared" ca="1" si="157"/>
        <v>$BX$60:$BX$61</v>
      </c>
      <c r="CA69" s="50" t="e">
        <f t="shared" ca="1" si="158"/>
        <v>#REF!</v>
      </c>
      <c r="CB69" s="214" t="e">
        <f t="shared" ca="1" si="128"/>
        <v>#N/A</v>
      </c>
      <c r="CC69" s="54"/>
      <c r="CD69" s="50" t="e">
        <f ca="1"/>
        <v>#N/A</v>
      </c>
      <c r="CE69" s="55" t="e">
        <f ca="1"/>
        <v>#N/A</v>
      </c>
      <c r="CF69" s="55">
        <f t="array" aca="1" ref="CF69" ca="1">SUM(IF(ISNUMBER(CG$60:CG69),1,0))+IF($BF69&gt;Capas_VN_C2,1,0)</f>
        <v>1</v>
      </c>
      <c r="CG69" s="51" t="e">
        <f t="shared" ca="1" si="159"/>
        <v>#N/A</v>
      </c>
      <c r="CH69" s="51" t="e">
        <f t="shared" ca="1" si="160"/>
        <v>#N/A</v>
      </c>
      <c r="CI69" s="51" t="e">
        <f t="shared" ca="1" si="161"/>
        <v>#N/A</v>
      </c>
      <c r="CJ69" s="48" t="str">
        <f t="shared" ca="1" si="162"/>
        <v>$CH$60:$CH$61</v>
      </c>
      <c r="CK69" s="48" t="str">
        <f t="shared" ca="1" si="163"/>
        <v>$CI$60:$CI$61</v>
      </c>
      <c r="CL69" s="50" t="e">
        <f t="shared" ca="1" si="164"/>
        <v>#REF!</v>
      </c>
      <c r="CM69" s="214" t="e">
        <f t="shared" ca="1" si="129"/>
        <v>#N/A</v>
      </c>
      <c r="CN69" s="54"/>
      <c r="CO69" s="50" t="e">
        <f ca="1"/>
        <v>#N/A</v>
      </c>
      <c r="CP69" s="55" t="e">
        <f ca="1"/>
        <v>#N/A</v>
      </c>
      <c r="CQ69" s="55">
        <f t="array" aca="1" ref="CQ69" ca="1">SUM(IF(ISNUMBER(CR$60:CR69),1,0))+IF($BF69&gt;Capas_VN_C2,1,0)</f>
        <v>1</v>
      </c>
      <c r="CR69" s="51" t="e">
        <f t="shared" ca="1" si="165"/>
        <v>#N/A</v>
      </c>
      <c r="CS69" s="51" t="e">
        <f t="shared" ca="1" si="166"/>
        <v>#N/A</v>
      </c>
      <c r="CT69" s="51" t="e">
        <f t="shared" ca="1" si="167"/>
        <v>#N/A</v>
      </c>
      <c r="CU69" s="48" t="str">
        <f t="shared" ca="1" si="168"/>
        <v>$CS$60:$CS$61</v>
      </c>
      <c r="CV69" s="48" t="str">
        <f t="shared" ca="1" si="169"/>
        <v>$CT$60:$CT$61</v>
      </c>
      <c r="CW69" s="50" t="e">
        <f t="shared" ca="1" si="170"/>
        <v>#REF!</v>
      </c>
      <c r="CX69" s="214" t="e">
        <f t="shared" ca="1" si="130"/>
        <v>#N/A</v>
      </c>
      <c r="CY69" s="54"/>
      <c r="CZ69" s="50" t="e">
        <v>#N/A</v>
      </c>
      <c r="DA69" s="55" t="e">
        <v>#N/A</v>
      </c>
      <c r="DB69" s="55">
        <f t="array" ref="DB69">SUM(IF(ISNUMBER(DC$60:DC69),1,0))+IF($BF69&gt;Capas_VN_C2,1,0)</f>
        <v>1</v>
      </c>
      <c r="DC69" s="51" t="e">
        <f t="shared" si="171"/>
        <v>#N/A</v>
      </c>
      <c r="DD69" s="51" t="e">
        <f t="shared" si="172"/>
        <v>#N/A</v>
      </c>
      <c r="DE69" s="51" t="e">
        <f t="shared" si="173"/>
        <v>#N/A</v>
      </c>
      <c r="DF69" s="48" t="str">
        <f t="shared" si="174"/>
        <v>$DD$60:$DD$61</v>
      </c>
      <c r="DG69" s="48" t="str">
        <f t="shared" si="175"/>
        <v>$DE$60:$DE$61</v>
      </c>
      <c r="DH69" s="50" t="e">
        <f t="shared" ca="1" si="176"/>
        <v>#REF!</v>
      </c>
      <c r="DI69" s="214" t="e">
        <f t="shared" ca="1" si="131"/>
        <v>#N/A</v>
      </c>
    </row>
    <row r="70" spans="1:113" x14ac:dyDescent="0.25">
      <c r="A70" s="43">
        <v>10</v>
      </c>
      <c r="B70" s="15" t="e">
        <f t="shared" si="132"/>
        <v>#N/A</v>
      </c>
      <c r="C70" s="56" t="e">
        <v>#N/A</v>
      </c>
      <c r="D70" s="48" t="e">
        <v>#N/A</v>
      </c>
      <c r="E70" s="51" t="e">
        <v>#N/A</v>
      </c>
      <c r="F70" s="51" t="e">
        <v>#N/A</v>
      </c>
      <c r="G70" s="56" t="e">
        <f>IF(OR(B70="",B70="Interior"),NA(),SUM($C$61:$C70))</f>
        <v>#N/A</v>
      </c>
      <c r="H70" s="48" t="e">
        <f>IF(B70="",NA(),SUM($D$60:$D70))</f>
        <v>#N/A</v>
      </c>
      <c r="I70" s="50" t="e">
        <v>#N/A</v>
      </c>
      <c r="J70" s="52" t="e">
        <f>IF(I70="",NA(),SUM($I$60:$I70))</f>
        <v>#N/A</v>
      </c>
      <c r="K70" s="53" t="e">
        <f ca="1"/>
        <v>#N/A</v>
      </c>
      <c r="L70" s="47" t="e">
        <f ca="1"/>
        <v>#N/A</v>
      </c>
      <c r="M70" s="54" t="e">
        <f t="shared" ca="1" si="133"/>
        <v>#N/A</v>
      </c>
      <c r="N70" s="50" t="e">
        <f ca="1"/>
        <v>#N/A</v>
      </c>
      <c r="O70" s="55" t="e">
        <f ca="1"/>
        <v>#N/A</v>
      </c>
      <c r="P70" s="50" t="e">
        <f t="shared" ca="1" si="116"/>
        <v>#N/A</v>
      </c>
      <c r="Q70" s="214" t="e">
        <f t="shared" ca="1" si="178"/>
        <v>#N/A</v>
      </c>
      <c r="R70" s="55">
        <f t="array" aca="1" ref="R70" ca="1">SUM(IF(ISNUMBER(S$60:S70),1,0))+IF($A70&gt;Capas_VN_C1,1,0)</f>
        <v>4</v>
      </c>
      <c r="S70" s="51" t="e">
        <f t="shared" ca="1" si="134"/>
        <v>#N/A</v>
      </c>
      <c r="T70" s="51" t="e">
        <f t="shared" ca="1" si="117"/>
        <v>#N/A</v>
      </c>
      <c r="U70" s="51" t="e">
        <f t="shared" ca="1" si="118"/>
        <v>#N/A</v>
      </c>
      <c r="V70" s="48" t="str">
        <f t="shared" ca="1" si="119"/>
        <v>$T$63:$T$64</v>
      </c>
      <c r="W70" s="48" t="str">
        <f t="shared" ca="1" si="120"/>
        <v>$U$63:$U$64</v>
      </c>
      <c r="X70" s="54" t="e">
        <f t="shared" ca="1" si="135"/>
        <v>#N/A</v>
      </c>
      <c r="Y70" s="50" t="e">
        <f ca="1"/>
        <v>#N/A</v>
      </c>
      <c r="Z70" s="55" t="e">
        <f ca="1"/>
        <v>#N/A</v>
      </c>
      <c r="AA70" s="55">
        <f t="array" aca="1" ref="AA70" ca="1">SUM(IF(ISNUMBER(AB$60:AB70),1,0))+IF($A70&gt;Capas_VN_C1,1,0)</f>
        <v>6</v>
      </c>
      <c r="AB70" s="51" t="e">
        <f t="shared" ca="1" si="136"/>
        <v>#N/A</v>
      </c>
      <c r="AC70" s="51" t="e">
        <f t="shared" ca="1" si="137"/>
        <v>#N/A</v>
      </c>
      <c r="AD70" s="51" t="e">
        <f t="shared" ca="1" si="138"/>
        <v>#N/A</v>
      </c>
      <c r="AE70" s="48" t="str">
        <f t="shared" ca="1" si="139"/>
        <v>$AC$65:$AC$66</v>
      </c>
      <c r="AF70" s="48" t="str">
        <f t="shared" ca="1" si="140"/>
        <v>$AD$65:$AD$66</v>
      </c>
      <c r="AG70" s="50" t="e">
        <f t="shared" ca="1" si="121"/>
        <v>#N/A</v>
      </c>
      <c r="AH70" s="214" t="e">
        <f t="shared" ca="1" si="122"/>
        <v>#N/A</v>
      </c>
      <c r="AI70" s="54" t="e">
        <f t="shared" ca="1" si="141"/>
        <v>#N/A</v>
      </c>
      <c r="AJ70" s="50" t="e">
        <f ca="1"/>
        <v>#N/A</v>
      </c>
      <c r="AK70" s="55" t="e">
        <f ca="1"/>
        <v>#N/A</v>
      </c>
      <c r="AL70" s="55">
        <f t="array" aca="1" ref="AL70" ca="1">SUM(IF(ISNUMBER(AM$60:AM70),1,0))+IF($A70&gt;Capas_VN_C1,1,0)</f>
        <v>6</v>
      </c>
      <c r="AM70" s="51" t="e">
        <f t="shared" ca="1" si="142"/>
        <v>#N/A</v>
      </c>
      <c r="AN70" s="51" t="e">
        <f t="shared" ca="1" si="143"/>
        <v>#N/A</v>
      </c>
      <c r="AO70" s="51" t="e">
        <f t="shared" ca="1" si="144"/>
        <v>#N/A</v>
      </c>
      <c r="AP70" s="48" t="str">
        <f t="shared" ca="1" si="145"/>
        <v>$AN$65:$AN$66</v>
      </c>
      <c r="AQ70" s="48" t="str">
        <f t="shared" ca="1" si="146"/>
        <v>$AO$65:$AO$66</v>
      </c>
      <c r="AR70" s="50" t="e">
        <f t="shared" ca="1" si="123"/>
        <v>#N/A</v>
      </c>
      <c r="AS70" s="214" t="e">
        <f t="shared" ca="1" si="124"/>
        <v>#N/A</v>
      </c>
      <c r="AT70" s="54" t="e">
        <f t="shared" ca="1" si="147"/>
        <v>#N/A</v>
      </c>
      <c r="AU70" s="50" t="e">
        <f ca="1"/>
        <v>#N/A</v>
      </c>
      <c r="AV70" s="55" t="e">
        <f ca="1"/>
        <v>#N/A</v>
      </c>
      <c r="AW70" s="55">
        <f t="array" aca="1" ref="AW70" ca="1">SUM(IF(ISNUMBER(AX$60:AX70),1,0))+IF($A70&gt;Capas_VN_C1,1,0)</f>
        <v>3</v>
      </c>
      <c r="AX70" s="50" t="e">
        <f t="shared" ca="1" si="148"/>
        <v>#N/A</v>
      </c>
      <c r="AY70" s="51" t="e">
        <f t="shared" ca="1" si="149"/>
        <v>#N/A</v>
      </c>
      <c r="AZ70" s="51" t="e">
        <f t="shared" ca="1" si="125"/>
        <v>#N/A</v>
      </c>
      <c r="BA70" s="48" t="str">
        <f t="shared" ca="1" si="150"/>
        <v>$AY$62:$AY$63</v>
      </c>
      <c r="BB70" s="48" t="str">
        <f t="shared" ca="1" si="151"/>
        <v>$AZ$62:$AZ$63</v>
      </c>
      <c r="BC70" s="50" t="e">
        <f t="shared" ca="1" si="126"/>
        <v>#N/A</v>
      </c>
      <c r="BD70" s="214" t="e">
        <f t="shared" ca="1" si="127"/>
        <v>#N/A</v>
      </c>
      <c r="BF70" s="43">
        <v>10</v>
      </c>
      <c r="BG70" s="15" t="e">
        <f t="shared" si="152"/>
        <v>#N/A</v>
      </c>
      <c r="BH70" s="56" t="e">
        <v>#REF!</v>
      </c>
      <c r="BI70" s="48" t="e">
        <v>#N/A</v>
      </c>
      <c r="BJ70" s="51" t="e">
        <v>#REF!</v>
      </c>
      <c r="BK70" s="51" t="e">
        <v>#REF!</v>
      </c>
      <c r="BL70" s="56" t="e">
        <f>IF(OR(BH70="",BH70="Interior"),NA(),SUM($BH$61:$BH70))</f>
        <v>#REF!</v>
      </c>
      <c r="BM70" s="48" t="e">
        <f>IF(BG70="",NA(),SUM($BI$60:$BI70))</f>
        <v>#N/A</v>
      </c>
      <c r="BN70" s="50" t="e">
        <v>#REF!</v>
      </c>
      <c r="BO70" s="52" t="e">
        <f>IF(BN70="",NA(),SUM($BN$60:$BN70))</f>
        <v>#REF!</v>
      </c>
      <c r="BP70" s="53" t="e">
        <v>#N/A</v>
      </c>
      <c r="BQ70" s="52" t="e">
        <v>#N/A</v>
      </c>
      <c r="BR70" s="54"/>
      <c r="BS70" s="50" t="e">
        <f ca="1"/>
        <v>#N/A</v>
      </c>
      <c r="BT70" s="55" t="e">
        <f ca="1"/>
        <v>#N/A</v>
      </c>
      <c r="BU70" s="55">
        <f t="array" aca="1" ref="BU70" ca="1">SUM(IF(ISNUMBER(BV$60:BV70),1,0))+IF($BF70&gt;Capas_VN_C2,1,0)</f>
        <v>1</v>
      </c>
      <c r="BV70" s="51" t="e">
        <f t="shared" ca="1" si="153"/>
        <v>#N/A</v>
      </c>
      <c r="BW70" s="51" t="e">
        <f t="shared" ca="1" si="154"/>
        <v>#N/A</v>
      </c>
      <c r="BX70" s="51" t="e">
        <f t="shared" ca="1" si="155"/>
        <v>#N/A</v>
      </c>
      <c r="BY70" s="48" t="str">
        <f t="shared" ca="1" si="156"/>
        <v>$BW$60:$BW$61</v>
      </c>
      <c r="BZ70" s="48" t="str">
        <f t="shared" ca="1" si="157"/>
        <v>$BX$60:$BX$61</v>
      </c>
      <c r="CA70" s="50" t="e">
        <f t="shared" ca="1" si="158"/>
        <v>#REF!</v>
      </c>
      <c r="CB70" s="214" t="e">
        <f t="shared" ca="1" si="128"/>
        <v>#N/A</v>
      </c>
      <c r="CC70" s="54"/>
      <c r="CD70" s="50" t="e">
        <f ca="1"/>
        <v>#N/A</v>
      </c>
      <c r="CE70" s="55" t="e">
        <f ca="1"/>
        <v>#N/A</v>
      </c>
      <c r="CF70" s="55">
        <f t="array" aca="1" ref="CF70" ca="1">SUM(IF(ISNUMBER(CG$60:CG70),1,0))+IF($BF70&gt;Capas_VN_C2,1,0)</f>
        <v>1</v>
      </c>
      <c r="CG70" s="51" t="e">
        <f t="shared" ca="1" si="159"/>
        <v>#N/A</v>
      </c>
      <c r="CH70" s="51" t="e">
        <f t="shared" ca="1" si="160"/>
        <v>#N/A</v>
      </c>
      <c r="CI70" s="51" t="e">
        <f t="shared" ca="1" si="161"/>
        <v>#N/A</v>
      </c>
      <c r="CJ70" s="48" t="str">
        <f t="shared" ca="1" si="162"/>
        <v>$CH$60:$CH$61</v>
      </c>
      <c r="CK70" s="48" t="str">
        <f t="shared" ca="1" si="163"/>
        <v>$CI$60:$CI$61</v>
      </c>
      <c r="CL70" s="50" t="e">
        <f t="shared" ca="1" si="164"/>
        <v>#REF!</v>
      </c>
      <c r="CM70" s="214" t="e">
        <f t="shared" ca="1" si="129"/>
        <v>#N/A</v>
      </c>
      <c r="CN70" s="54"/>
      <c r="CO70" s="50" t="e">
        <f ca="1"/>
        <v>#N/A</v>
      </c>
      <c r="CP70" s="55" t="e">
        <f ca="1"/>
        <v>#N/A</v>
      </c>
      <c r="CQ70" s="55">
        <f t="array" aca="1" ref="CQ70" ca="1">SUM(IF(ISNUMBER(CR$60:CR70),1,0))+IF($BF70&gt;Capas_VN_C2,1,0)</f>
        <v>1</v>
      </c>
      <c r="CR70" s="51" t="e">
        <f t="shared" ca="1" si="165"/>
        <v>#N/A</v>
      </c>
      <c r="CS70" s="51" t="e">
        <f t="shared" ca="1" si="166"/>
        <v>#N/A</v>
      </c>
      <c r="CT70" s="51" t="e">
        <f t="shared" ca="1" si="167"/>
        <v>#N/A</v>
      </c>
      <c r="CU70" s="48" t="str">
        <f t="shared" ca="1" si="168"/>
        <v>$CS$60:$CS$61</v>
      </c>
      <c r="CV70" s="48" t="str">
        <f t="shared" ca="1" si="169"/>
        <v>$CT$60:$CT$61</v>
      </c>
      <c r="CW70" s="50" t="e">
        <f t="shared" ca="1" si="170"/>
        <v>#REF!</v>
      </c>
      <c r="CX70" s="214" t="e">
        <f t="shared" ca="1" si="130"/>
        <v>#N/A</v>
      </c>
      <c r="CY70" s="54"/>
      <c r="CZ70" s="50" t="e">
        <v>#N/A</v>
      </c>
      <c r="DA70" s="55" t="e">
        <v>#N/A</v>
      </c>
      <c r="DB70" s="55">
        <f t="array" ref="DB70">SUM(IF(ISNUMBER(DC$60:DC70),1,0))+IF($BF70&gt;Capas_VN_C2,1,0)</f>
        <v>1</v>
      </c>
      <c r="DC70" s="51" t="e">
        <f t="shared" si="171"/>
        <v>#N/A</v>
      </c>
      <c r="DD70" s="51" t="e">
        <f t="shared" si="172"/>
        <v>#N/A</v>
      </c>
      <c r="DE70" s="51" t="e">
        <f t="shared" si="173"/>
        <v>#N/A</v>
      </c>
      <c r="DF70" s="48" t="str">
        <f t="shared" si="174"/>
        <v>$DD$60:$DD$61</v>
      </c>
      <c r="DG70" s="48" t="str">
        <f t="shared" si="175"/>
        <v>$DE$60:$DE$61</v>
      </c>
      <c r="DH70" s="50" t="e">
        <f t="shared" ca="1" si="176"/>
        <v>#REF!</v>
      </c>
      <c r="DI70" s="214" t="e">
        <f t="shared" ca="1" si="131"/>
        <v>#N/A</v>
      </c>
    </row>
    <row r="71" spans="1:113" x14ac:dyDescent="0.25">
      <c r="A71" s="43">
        <v>11</v>
      </c>
      <c r="B71" s="15" t="e">
        <f t="shared" si="132"/>
        <v>#N/A</v>
      </c>
      <c r="C71" s="56" t="e">
        <v>#N/A</v>
      </c>
      <c r="D71" s="48" t="e">
        <v>#N/A</v>
      </c>
      <c r="E71" s="51" t="e">
        <v>#N/A</v>
      </c>
      <c r="F71" s="51" t="e">
        <v>#N/A</v>
      </c>
      <c r="G71" s="56" t="e">
        <f>IF(OR(B71="",B71="Interior"),NA(),SUM($C$61:$C71))</f>
        <v>#N/A</v>
      </c>
      <c r="H71" s="48" t="e">
        <f>IF(B71="",NA(),SUM($D$60:$D71))</f>
        <v>#N/A</v>
      </c>
      <c r="I71" s="50" t="e">
        <v>#N/A</v>
      </c>
      <c r="J71" s="52" t="e">
        <f>IF(I71="",NA(),SUM($I$60:$I71))</f>
        <v>#N/A</v>
      </c>
      <c r="K71" s="53" t="e">
        <f ca="1"/>
        <v>#N/A</v>
      </c>
      <c r="L71" s="47" t="e">
        <f ca="1"/>
        <v>#N/A</v>
      </c>
      <c r="M71" s="54" t="e">
        <f t="shared" ca="1" si="133"/>
        <v>#N/A</v>
      </c>
      <c r="N71" s="50" t="e">
        <f ca="1"/>
        <v>#N/A</v>
      </c>
      <c r="O71" s="55" t="e">
        <f ca="1"/>
        <v>#N/A</v>
      </c>
      <c r="P71" s="50" t="e">
        <f t="shared" ca="1" si="116"/>
        <v>#N/A</v>
      </c>
      <c r="Q71" s="214" t="e">
        <f t="shared" ca="1" si="178"/>
        <v>#N/A</v>
      </c>
      <c r="R71" s="55">
        <f t="array" aca="1" ref="R71" ca="1">SUM(IF(ISNUMBER(S$60:S71),1,0))+IF($A71&gt;Capas_VN_C1,1,0)</f>
        <v>4</v>
      </c>
      <c r="S71" s="51" t="e">
        <f t="shared" ca="1" si="134"/>
        <v>#N/A</v>
      </c>
      <c r="T71" s="51" t="e">
        <f t="shared" ca="1" si="117"/>
        <v>#N/A</v>
      </c>
      <c r="U71" s="51" t="e">
        <f t="shared" ca="1" si="118"/>
        <v>#N/A</v>
      </c>
      <c r="V71" s="48" t="str">
        <f t="shared" ca="1" si="119"/>
        <v>$T$63:$T$64</v>
      </c>
      <c r="W71" s="48" t="str">
        <f t="shared" ca="1" si="120"/>
        <v>$U$63:$U$64</v>
      </c>
      <c r="X71" s="54" t="e">
        <f t="shared" ca="1" si="135"/>
        <v>#N/A</v>
      </c>
      <c r="Y71" s="50" t="e">
        <f ca="1"/>
        <v>#N/A</v>
      </c>
      <c r="Z71" s="55" t="e">
        <f ca="1"/>
        <v>#N/A</v>
      </c>
      <c r="AA71" s="55">
        <f t="array" aca="1" ref="AA71" ca="1">SUM(IF(ISNUMBER(AB$60:AB71),1,0))+IF($A71&gt;Capas_VN_C1,1,0)</f>
        <v>6</v>
      </c>
      <c r="AB71" s="51" t="e">
        <f t="shared" ca="1" si="136"/>
        <v>#N/A</v>
      </c>
      <c r="AC71" s="51" t="e">
        <f t="shared" ca="1" si="137"/>
        <v>#N/A</v>
      </c>
      <c r="AD71" s="51" t="e">
        <f t="shared" ca="1" si="138"/>
        <v>#N/A</v>
      </c>
      <c r="AE71" s="48" t="str">
        <f t="shared" ca="1" si="139"/>
        <v>$AC$65:$AC$66</v>
      </c>
      <c r="AF71" s="48" t="str">
        <f t="shared" ca="1" si="140"/>
        <v>$AD$65:$AD$66</v>
      </c>
      <c r="AG71" s="50" t="e">
        <f t="shared" ca="1" si="121"/>
        <v>#N/A</v>
      </c>
      <c r="AH71" s="214" t="e">
        <f t="shared" ca="1" si="122"/>
        <v>#N/A</v>
      </c>
      <c r="AI71" s="54" t="e">
        <f t="shared" ca="1" si="141"/>
        <v>#N/A</v>
      </c>
      <c r="AJ71" s="50" t="e">
        <f ca="1"/>
        <v>#N/A</v>
      </c>
      <c r="AK71" s="55" t="e">
        <f ca="1"/>
        <v>#N/A</v>
      </c>
      <c r="AL71" s="55">
        <f t="array" aca="1" ref="AL71" ca="1">SUM(IF(ISNUMBER(AM$60:AM71),1,0))+IF($A71&gt;Capas_VN_C1,1,0)</f>
        <v>6</v>
      </c>
      <c r="AM71" s="51" t="e">
        <f t="shared" ca="1" si="142"/>
        <v>#N/A</v>
      </c>
      <c r="AN71" s="51" t="e">
        <f t="shared" ca="1" si="143"/>
        <v>#N/A</v>
      </c>
      <c r="AO71" s="51" t="e">
        <f t="shared" ca="1" si="144"/>
        <v>#N/A</v>
      </c>
      <c r="AP71" s="48" t="str">
        <f t="shared" ca="1" si="145"/>
        <v>$AN$65:$AN$66</v>
      </c>
      <c r="AQ71" s="48" t="str">
        <f t="shared" ca="1" si="146"/>
        <v>$AO$65:$AO$66</v>
      </c>
      <c r="AR71" s="50" t="e">
        <f t="shared" ca="1" si="123"/>
        <v>#N/A</v>
      </c>
      <c r="AS71" s="214" t="e">
        <f t="shared" ca="1" si="124"/>
        <v>#N/A</v>
      </c>
      <c r="AT71" s="54" t="e">
        <f t="shared" ca="1" si="147"/>
        <v>#N/A</v>
      </c>
      <c r="AU71" s="50" t="e">
        <f ca="1"/>
        <v>#N/A</v>
      </c>
      <c r="AV71" s="55" t="e">
        <f ca="1"/>
        <v>#N/A</v>
      </c>
      <c r="AW71" s="55">
        <f t="array" aca="1" ref="AW71" ca="1">SUM(IF(ISNUMBER(AX$60:AX71),1,0))+IF($A71&gt;Capas_VN_C1,1,0)</f>
        <v>3</v>
      </c>
      <c r="AX71" s="50" t="e">
        <f t="shared" ca="1" si="148"/>
        <v>#N/A</v>
      </c>
      <c r="AY71" s="51" t="e">
        <f t="shared" ca="1" si="149"/>
        <v>#N/A</v>
      </c>
      <c r="AZ71" s="51" t="e">
        <f t="shared" ca="1" si="125"/>
        <v>#N/A</v>
      </c>
      <c r="BA71" s="48" t="str">
        <f t="shared" ca="1" si="150"/>
        <v>$AY$62:$AY$63</v>
      </c>
      <c r="BB71" s="48" t="str">
        <f t="shared" ca="1" si="151"/>
        <v>$AZ$62:$AZ$63</v>
      </c>
      <c r="BC71" s="50" t="e">
        <f t="shared" ca="1" si="126"/>
        <v>#N/A</v>
      </c>
      <c r="BD71" s="214" t="e">
        <f t="shared" ca="1" si="127"/>
        <v>#N/A</v>
      </c>
      <c r="BF71" s="43">
        <v>11</v>
      </c>
      <c r="BG71" s="15" t="e">
        <f t="shared" si="152"/>
        <v>#N/A</v>
      </c>
      <c r="BH71" s="56" t="e">
        <v>#REF!</v>
      </c>
      <c r="BI71" s="48" t="e">
        <v>#N/A</v>
      </c>
      <c r="BJ71" s="51" t="e">
        <v>#REF!</v>
      </c>
      <c r="BK71" s="51" t="e">
        <v>#REF!</v>
      </c>
      <c r="BL71" s="56" t="e">
        <f>IF(OR(BH71="",BH71="Interior"),NA(),SUM($BH$61:$BH71))</f>
        <v>#REF!</v>
      </c>
      <c r="BM71" s="48" t="e">
        <f>IF(BG71="",NA(),SUM($BI$60:$BI71))</f>
        <v>#N/A</v>
      </c>
      <c r="BN71" s="50" t="e">
        <v>#REF!</v>
      </c>
      <c r="BO71" s="52" t="e">
        <f>IF(BN71="",NA(),SUM($BN$60:$BN71))</f>
        <v>#REF!</v>
      </c>
      <c r="BP71" s="53" t="e">
        <v>#N/A</v>
      </c>
      <c r="BQ71" s="52" t="e">
        <v>#N/A</v>
      </c>
      <c r="BR71" s="54"/>
      <c r="BS71" s="50" t="e">
        <f ca="1"/>
        <v>#N/A</v>
      </c>
      <c r="BT71" s="55" t="e">
        <f ca="1"/>
        <v>#N/A</v>
      </c>
      <c r="BU71" s="55">
        <f t="array" aca="1" ref="BU71" ca="1">SUM(IF(ISNUMBER(BV$60:BV71),1,0))+IF($BF71&gt;Capas_VN_C2,1,0)</f>
        <v>1</v>
      </c>
      <c r="BV71" s="51" t="e">
        <f t="shared" ca="1" si="153"/>
        <v>#N/A</v>
      </c>
      <c r="BW71" s="51" t="e">
        <f t="shared" ca="1" si="154"/>
        <v>#N/A</v>
      </c>
      <c r="BX71" s="51" t="e">
        <f t="shared" ca="1" si="155"/>
        <v>#N/A</v>
      </c>
      <c r="BY71" s="48" t="str">
        <f t="shared" ca="1" si="156"/>
        <v>$BW$60:$BW$61</v>
      </c>
      <c r="BZ71" s="48" t="str">
        <f t="shared" ca="1" si="157"/>
        <v>$BX$60:$BX$61</v>
      </c>
      <c r="CA71" s="50" t="e">
        <f t="shared" ca="1" si="158"/>
        <v>#REF!</v>
      </c>
      <c r="CB71" s="214" t="e">
        <f t="shared" ca="1" si="128"/>
        <v>#N/A</v>
      </c>
      <c r="CC71" s="54"/>
      <c r="CD71" s="50" t="e">
        <f ca="1"/>
        <v>#N/A</v>
      </c>
      <c r="CE71" s="55" t="e">
        <f ca="1"/>
        <v>#N/A</v>
      </c>
      <c r="CF71" s="55">
        <f t="array" aca="1" ref="CF71" ca="1">SUM(IF(ISNUMBER(CG$60:CG71),1,0))+IF($BF71&gt;Capas_VN_C2,1,0)</f>
        <v>1</v>
      </c>
      <c r="CG71" s="51" t="e">
        <f t="shared" ca="1" si="159"/>
        <v>#N/A</v>
      </c>
      <c r="CH71" s="51" t="e">
        <f t="shared" ca="1" si="160"/>
        <v>#N/A</v>
      </c>
      <c r="CI71" s="51" t="e">
        <f t="shared" ca="1" si="161"/>
        <v>#N/A</v>
      </c>
      <c r="CJ71" s="48" t="str">
        <f t="shared" ca="1" si="162"/>
        <v>$CH$60:$CH$61</v>
      </c>
      <c r="CK71" s="48" t="str">
        <f t="shared" ca="1" si="163"/>
        <v>$CI$60:$CI$61</v>
      </c>
      <c r="CL71" s="50" t="e">
        <f t="shared" ca="1" si="164"/>
        <v>#REF!</v>
      </c>
      <c r="CM71" s="214" t="e">
        <f t="shared" ca="1" si="129"/>
        <v>#N/A</v>
      </c>
      <c r="CN71" s="54"/>
      <c r="CO71" s="50" t="e">
        <f ca="1"/>
        <v>#N/A</v>
      </c>
      <c r="CP71" s="55" t="e">
        <f ca="1"/>
        <v>#N/A</v>
      </c>
      <c r="CQ71" s="55">
        <f t="array" aca="1" ref="CQ71" ca="1">SUM(IF(ISNUMBER(CR$60:CR71),1,0))+IF($BF71&gt;Capas_VN_C2,1,0)</f>
        <v>1</v>
      </c>
      <c r="CR71" s="51" t="e">
        <f t="shared" ca="1" si="165"/>
        <v>#N/A</v>
      </c>
      <c r="CS71" s="51" t="e">
        <f t="shared" ca="1" si="166"/>
        <v>#N/A</v>
      </c>
      <c r="CT71" s="51" t="e">
        <f t="shared" ca="1" si="167"/>
        <v>#N/A</v>
      </c>
      <c r="CU71" s="48" t="str">
        <f t="shared" ca="1" si="168"/>
        <v>$CS$60:$CS$61</v>
      </c>
      <c r="CV71" s="48" t="str">
        <f t="shared" ca="1" si="169"/>
        <v>$CT$60:$CT$61</v>
      </c>
      <c r="CW71" s="50" t="e">
        <f t="shared" ca="1" si="170"/>
        <v>#REF!</v>
      </c>
      <c r="CX71" s="214" t="e">
        <f t="shared" ca="1" si="130"/>
        <v>#N/A</v>
      </c>
      <c r="CY71" s="54"/>
      <c r="CZ71" s="50" t="e">
        <v>#N/A</v>
      </c>
      <c r="DA71" s="55" t="e">
        <v>#N/A</v>
      </c>
      <c r="DB71" s="55">
        <f t="array" ref="DB71">SUM(IF(ISNUMBER(DC$60:DC71),1,0))+IF($BF71&gt;Capas_VN_C2,1,0)</f>
        <v>1</v>
      </c>
      <c r="DC71" s="51" t="e">
        <f t="shared" si="171"/>
        <v>#N/A</v>
      </c>
      <c r="DD71" s="51" t="e">
        <f t="shared" si="172"/>
        <v>#N/A</v>
      </c>
      <c r="DE71" s="51" t="e">
        <f t="shared" si="173"/>
        <v>#N/A</v>
      </c>
      <c r="DF71" s="48" t="str">
        <f t="shared" si="174"/>
        <v>$DD$60:$DD$61</v>
      </c>
      <c r="DG71" s="48" t="str">
        <f t="shared" si="175"/>
        <v>$DE$60:$DE$61</v>
      </c>
      <c r="DH71" s="50" t="e">
        <f t="shared" ca="1" si="176"/>
        <v>#REF!</v>
      </c>
      <c r="DI71" s="214" t="e">
        <f t="shared" ca="1" si="131"/>
        <v>#N/A</v>
      </c>
    </row>
    <row r="72" spans="1:113" x14ac:dyDescent="0.25">
      <c r="A72" s="43">
        <v>12</v>
      </c>
      <c r="B72" s="15" t="e">
        <f t="shared" si="132"/>
        <v>#N/A</v>
      </c>
      <c r="C72" s="56" t="e">
        <v>#N/A</v>
      </c>
      <c r="D72" s="48" t="e">
        <v>#N/A</v>
      </c>
      <c r="E72" s="51" t="e">
        <v>#N/A</v>
      </c>
      <c r="F72" s="51" t="e">
        <v>#N/A</v>
      </c>
      <c r="G72" s="56" t="e">
        <f>IF(OR(B72="",B72="Interior"),NA(),SUM($C$61:$C72))</f>
        <v>#N/A</v>
      </c>
      <c r="H72" s="48" t="e">
        <f>IF(B72="",NA(),SUM($D$60:$D72))</f>
        <v>#N/A</v>
      </c>
      <c r="I72" s="50" t="e">
        <v>#N/A</v>
      </c>
      <c r="J72" s="52" t="e">
        <f>IF(I72="",NA(),SUM($I$60:$I72))</f>
        <v>#N/A</v>
      </c>
      <c r="K72" s="53" t="e">
        <f ca="1"/>
        <v>#N/A</v>
      </c>
      <c r="L72" s="47" t="e">
        <f ca="1"/>
        <v>#N/A</v>
      </c>
      <c r="M72" s="54" t="e">
        <f t="shared" ca="1" si="133"/>
        <v>#N/A</v>
      </c>
      <c r="N72" s="50" t="e">
        <f ca="1"/>
        <v>#N/A</v>
      </c>
      <c r="O72" s="55" t="e">
        <f ca="1"/>
        <v>#N/A</v>
      </c>
      <c r="P72" s="50" t="e">
        <f t="shared" ca="1" si="116"/>
        <v>#N/A</v>
      </c>
      <c r="Q72" s="214" t="e">
        <f t="shared" ca="1" si="178"/>
        <v>#N/A</v>
      </c>
      <c r="R72" s="55">
        <f t="array" aca="1" ref="R72" ca="1">SUM(IF(ISNUMBER(S$60:S72),1,0))+IF($A72&gt;Capas_VN_C1,1,0)</f>
        <v>4</v>
      </c>
      <c r="S72" s="51" t="e">
        <f t="shared" ca="1" si="134"/>
        <v>#N/A</v>
      </c>
      <c r="T72" s="51" t="e">
        <f t="shared" ca="1" si="117"/>
        <v>#N/A</v>
      </c>
      <c r="U72" s="51" t="e">
        <f t="shared" ca="1" si="118"/>
        <v>#N/A</v>
      </c>
      <c r="V72" s="48" t="str">
        <f t="shared" ca="1" si="119"/>
        <v>$T$63:$T$64</v>
      </c>
      <c r="W72" s="48" t="str">
        <f t="shared" ca="1" si="120"/>
        <v>$U$63:$U$64</v>
      </c>
      <c r="X72" s="54" t="e">
        <f t="shared" ca="1" si="135"/>
        <v>#N/A</v>
      </c>
      <c r="Y72" s="50" t="e">
        <f ca="1"/>
        <v>#N/A</v>
      </c>
      <c r="Z72" s="55" t="e">
        <f ca="1"/>
        <v>#N/A</v>
      </c>
      <c r="AA72" s="55">
        <f t="array" aca="1" ref="AA72" ca="1">SUM(IF(ISNUMBER(AB$60:AB72),1,0))+IF($A72&gt;Capas_VN_C1,1,0)</f>
        <v>6</v>
      </c>
      <c r="AB72" s="51" t="e">
        <f t="shared" ca="1" si="136"/>
        <v>#N/A</v>
      </c>
      <c r="AC72" s="51" t="e">
        <f t="shared" ca="1" si="137"/>
        <v>#N/A</v>
      </c>
      <c r="AD72" s="51" t="e">
        <f t="shared" ca="1" si="138"/>
        <v>#N/A</v>
      </c>
      <c r="AE72" s="48" t="str">
        <f t="shared" ca="1" si="139"/>
        <v>$AC$65:$AC$66</v>
      </c>
      <c r="AF72" s="48" t="str">
        <f t="shared" ca="1" si="140"/>
        <v>$AD$65:$AD$66</v>
      </c>
      <c r="AG72" s="50" t="e">
        <f t="shared" ca="1" si="121"/>
        <v>#N/A</v>
      </c>
      <c r="AH72" s="214" t="e">
        <f t="shared" ca="1" si="122"/>
        <v>#N/A</v>
      </c>
      <c r="AI72" s="54" t="e">
        <f t="shared" ca="1" si="141"/>
        <v>#N/A</v>
      </c>
      <c r="AJ72" s="50" t="e">
        <f ca="1"/>
        <v>#N/A</v>
      </c>
      <c r="AK72" s="55" t="e">
        <f ca="1"/>
        <v>#N/A</v>
      </c>
      <c r="AL72" s="55">
        <f t="array" aca="1" ref="AL72" ca="1">SUM(IF(ISNUMBER(AM$60:AM72),1,0))+IF($A72&gt;Capas_VN_C1,1,0)</f>
        <v>6</v>
      </c>
      <c r="AM72" s="51" t="e">
        <f t="shared" ca="1" si="142"/>
        <v>#N/A</v>
      </c>
      <c r="AN72" s="51" t="e">
        <f t="shared" ca="1" si="143"/>
        <v>#N/A</v>
      </c>
      <c r="AO72" s="51" t="e">
        <f t="shared" ca="1" si="144"/>
        <v>#N/A</v>
      </c>
      <c r="AP72" s="48" t="str">
        <f t="shared" ca="1" si="145"/>
        <v>$AN$65:$AN$66</v>
      </c>
      <c r="AQ72" s="48" t="str">
        <f t="shared" ca="1" si="146"/>
        <v>$AO$65:$AO$66</v>
      </c>
      <c r="AR72" s="50" t="e">
        <f t="shared" ca="1" si="123"/>
        <v>#N/A</v>
      </c>
      <c r="AS72" s="214" t="e">
        <f t="shared" ca="1" si="124"/>
        <v>#N/A</v>
      </c>
      <c r="AT72" s="54" t="e">
        <f t="shared" ca="1" si="147"/>
        <v>#N/A</v>
      </c>
      <c r="AU72" s="50" t="e">
        <f ca="1"/>
        <v>#N/A</v>
      </c>
      <c r="AV72" s="55" t="e">
        <f ca="1"/>
        <v>#N/A</v>
      </c>
      <c r="AW72" s="55">
        <f t="array" aca="1" ref="AW72" ca="1">SUM(IF(ISNUMBER(AX$60:AX72),1,0))+IF($A72&gt;Capas_VN_C1,1,0)</f>
        <v>3</v>
      </c>
      <c r="AX72" s="50" t="e">
        <f t="shared" ca="1" si="148"/>
        <v>#N/A</v>
      </c>
      <c r="AY72" s="51" t="e">
        <f t="shared" ca="1" si="149"/>
        <v>#N/A</v>
      </c>
      <c r="AZ72" s="51" t="e">
        <f t="shared" ca="1" si="125"/>
        <v>#N/A</v>
      </c>
      <c r="BA72" s="48" t="str">
        <f t="shared" ca="1" si="150"/>
        <v>$AY$62:$AY$63</v>
      </c>
      <c r="BB72" s="48" t="str">
        <f t="shared" ca="1" si="151"/>
        <v>$AZ$62:$AZ$63</v>
      </c>
      <c r="BC72" s="50" t="e">
        <f t="shared" ca="1" si="126"/>
        <v>#N/A</v>
      </c>
      <c r="BD72" s="214" t="e">
        <f t="shared" ca="1" si="127"/>
        <v>#N/A</v>
      </c>
      <c r="BF72" s="43">
        <v>12</v>
      </c>
      <c r="BG72" s="15" t="e">
        <f t="shared" si="152"/>
        <v>#N/A</v>
      </c>
      <c r="BH72" s="56" t="e">
        <v>#REF!</v>
      </c>
      <c r="BI72" s="48" t="e">
        <v>#N/A</v>
      </c>
      <c r="BJ72" s="51" t="e">
        <v>#REF!</v>
      </c>
      <c r="BK72" s="51" t="e">
        <v>#REF!</v>
      </c>
      <c r="BL72" s="56" t="e">
        <f>IF(OR(BH72="",BH72="Interior"),NA(),SUM($BH$61:$BH72))</f>
        <v>#REF!</v>
      </c>
      <c r="BM72" s="48" t="e">
        <f>IF(BG72="",NA(),SUM($BI$60:$BI72))</f>
        <v>#N/A</v>
      </c>
      <c r="BN72" s="50" t="e">
        <v>#REF!</v>
      </c>
      <c r="BO72" s="52" t="e">
        <f>IF(BN72="",NA(),SUM($BN$60:$BN72))</f>
        <v>#REF!</v>
      </c>
      <c r="BP72" s="53" t="e">
        <v>#N/A</v>
      </c>
      <c r="BQ72" s="52" t="e">
        <v>#N/A</v>
      </c>
      <c r="BR72" s="54"/>
      <c r="BS72" s="50" t="e">
        <f ca="1"/>
        <v>#N/A</v>
      </c>
      <c r="BT72" s="55" t="e">
        <f ca="1"/>
        <v>#N/A</v>
      </c>
      <c r="BU72" s="55">
        <f t="array" aca="1" ref="BU72" ca="1">SUM(IF(ISNUMBER(BV$60:BV72),1,0))+IF($BF72&gt;Capas_VN_C2,1,0)</f>
        <v>1</v>
      </c>
      <c r="BV72" s="51" t="e">
        <f t="shared" ca="1" si="153"/>
        <v>#N/A</v>
      </c>
      <c r="BW72" s="51" t="e">
        <f t="shared" ca="1" si="154"/>
        <v>#N/A</v>
      </c>
      <c r="BX72" s="51" t="e">
        <f t="shared" ca="1" si="155"/>
        <v>#N/A</v>
      </c>
      <c r="BY72" s="48" t="str">
        <f t="shared" ca="1" si="156"/>
        <v>$BW$60:$BW$61</v>
      </c>
      <c r="BZ72" s="48" t="str">
        <f t="shared" ca="1" si="157"/>
        <v>$BX$60:$BX$61</v>
      </c>
      <c r="CA72" s="50" t="e">
        <f t="shared" ca="1" si="158"/>
        <v>#REF!</v>
      </c>
      <c r="CB72" s="214" t="e">
        <f t="shared" ca="1" si="128"/>
        <v>#N/A</v>
      </c>
      <c r="CC72" s="54"/>
      <c r="CD72" s="50" t="e">
        <f ca="1"/>
        <v>#N/A</v>
      </c>
      <c r="CE72" s="55" t="e">
        <f ca="1"/>
        <v>#N/A</v>
      </c>
      <c r="CF72" s="55">
        <f t="array" aca="1" ref="CF72" ca="1">SUM(IF(ISNUMBER(CG$60:CG72),1,0))+IF($BF72&gt;Capas_VN_C2,1,0)</f>
        <v>1</v>
      </c>
      <c r="CG72" s="51" t="e">
        <f t="shared" ca="1" si="159"/>
        <v>#N/A</v>
      </c>
      <c r="CH72" s="51" t="e">
        <f t="shared" ca="1" si="160"/>
        <v>#N/A</v>
      </c>
      <c r="CI72" s="51" t="e">
        <f t="shared" ca="1" si="161"/>
        <v>#N/A</v>
      </c>
      <c r="CJ72" s="48" t="str">
        <f t="shared" ca="1" si="162"/>
        <v>$CH$60:$CH$61</v>
      </c>
      <c r="CK72" s="48" t="str">
        <f t="shared" ca="1" si="163"/>
        <v>$CI$60:$CI$61</v>
      </c>
      <c r="CL72" s="50" t="e">
        <f t="shared" ca="1" si="164"/>
        <v>#REF!</v>
      </c>
      <c r="CM72" s="214" t="e">
        <f t="shared" ca="1" si="129"/>
        <v>#N/A</v>
      </c>
      <c r="CN72" s="54"/>
      <c r="CO72" s="50" t="e">
        <f ca="1"/>
        <v>#N/A</v>
      </c>
      <c r="CP72" s="55" t="e">
        <f ca="1"/>
        <v>#N/A</v>
      </c>
      <c r="CQ72" s="55">
        <f t="array" aca="1" ref="CQ72" ca="1">SUM(IF(ISNUMBER(CR$60:CR72),1,0))+IF($BF72&gt;Capas_VN_C2,1,0)</f>
        <v>1</v>
      </c>
      <c r="CR72" s="51" t="e">
        <f t="shared" ca="1" si="165"/>
        <v>#N/A</v>
      </c>
      <c r="CS72" s="51" t="e">
        <f t="shared" ca="1" si="166"/>
        <v>#N/A</v>
      </c>
      <c r="CT72" s="51" t="e">
        <f t="shared" ca="1" si="167"/>
        <v>#N/A</v>
      </c>
      <c r="CU72" s="48" t="str">
        <f t="shared" ca="1" si="168"/>
        <v>$CS$60:$CS$61</v>
      </c>
      <c r="CV72" s="48" t="str">
        <f t="shared" ca="1" si="169"/>
        <v>$CT$60:$CT$61</v>
      </c>
      <c r="CW72" s="50" t="e">
        <f t="shared" ca="1" si="170"/>
        <v>#REF!</v>
      </c>
      <c r="CX72" s="214" t="e">
        <f t="shared" ca="1" si="130"/>
        <v>#N/A</v>
      </c>
      <c r="CY72" s="54"/>
      <c r="CZ72" s="50" t="e">
        <v>#N/A</v>
      </c>
      <c r="DA72" s="55" t="e">
        <v>#N/A</v>
      </c>
      <c r="DB72" s="55">
        <f t="array" ref="DB72">SUM(IF(ISNUMBER(DC$60:DC72),1,0))+IF($BF72&gt;Capas_VN_C2,1,0)</f>
        <v>1</v>
      </c>
      <c r="DC72" s="51" t="e">
        <f t="shared" si="171"/>
        <v>#N/A</v>
      </c>
      <c r="DD72" s="51" t="e">
        <f t="shared" si="172"/>
        <v>#N/A</v>
      </c>
      <c r="DE72" s="51" t="e">
        <f t="shared" si="173"/>
        <v>#N/A</v>
      </c>
      <c r="DF72" s="48" t="str">
        <f t="shared" si="174"/>
        <v>$DD$60:$DD$61</v>
      </c>
      <c r="DG72" s="48" t="str">
        <f t="shared" si="175"/>
        <v>$DE$60:$DE$61</v>
      </c>
      <c r="DH72" s="50" t="e">
        <f t="shared" ca="1" si="176"/>
        <v>#REF!</v>
      </c>
      <c r="DI72" s="214" t="e">
        <f t="shared" ca="1" si="131"/>
        <v>#N/A</v>
      </c>
    </row>
    <row r="73" spans="1:113" ht="15.75" thickBot="1" x14ac:dyDescent="0.3">
      <c r="A73" s="57"/>
      <c r="B73" s="58" t="e">
        <f>IF(Capas_VN_C1=12,"Interior",NA())</f>
        <v>#N/A</v>
      </c>
      <c r="C73" s="59"/>
      <c r="D73" s="59" t="e">
        <f>IF(B73="Interior",Rsi_H3,NA())</f>
        <v>#N/A</v>
      </c>
      <c r="E73" s="59"/>
      <c r="F73" s="59"/>
      <c r="G73" s="60"/>
      <c r="H73" s="59"/>
      <c r="I73" s="58"/>
      <c r="J73" s="61"/>
      <c r="K73" s="53"/>
      <c r="L73" s="52"/>
      <c r="M73" s="53"/>
      <c r="N73" s="50"/>
      <c r="O73" s="55"/>
      <c r="Q73" s="537"/>
      <c r="R73" s="58"/>
      <c r="S73" s="58"/>
      <c r="T73" s="58"/>
      <c r="U73" s="58"/>
      <c r="V73" s="58"/>
      <c r="W73" s="61"/>
      <c r="X73" s="62"/>
      <c r="Y73" s="65"/>
      <c r="Z73" s="64"/>
      <c r="AA73" s="58"/>
      <c r="AB73" s="58"/>
      <c r="AC73" s="58"/>
      <c r="AD73" s="58"/>
      <c r="AE73" s="58"/>
      <c r="AF73" s="58"/>
      <c r="AG73" s="58"/>
      <c r="AH73" s="61"/>
      <c r="AI73" s="62"/>
      <c r="AJ73" s="58"/>
      <c r="AK73" s="65"/>
      <c r="AL73" s="64"/>
      <c r="AM73" s="58"/>
      <c r="AN73" s="58"/>
      <c r="AO73" s="58"/>
      <c r="AP73" s="58"/>
      <c r="AQ73" s="58"/>
      <c r="AR73" s="58"/>
      <c r="AS73" s="58"/>
      <c r="AT73" s="62"/>
      <c r="AU73" s="58"/>
      <c r="AV73" s="58"/>
      <c r="AW73" s="58"/>
      <c r="AX73" s="58"/>
      <c r="AY73" s="58"/>
      <c r="AZ73" s="58"/>
      <c r="BA73" s="58"/>
      <c r="BB73" s="58"/>
      <c r="BC73" s="58"/>
      <c r="BD73" s="61"/>
      <c r="BF73" s="57"/>
      <c r="BG73" s="58" t="e">
        <f>IF(Capas_VN_C2=12,"Interior",NA())</f>
        <v>#N/A</v>
      </c>
      <c r="BH73" s="59"/>
      <c r="BI73" s="59" t="e">
        <f>IF(BG73="Interior",Rsi_H3,NA())</f>
        <v>#N/A</v>
      </c>
      <c r="BJ73" s="59"/>
      <c r="BK73" s="59"/>
      <c r="BL73" s="58"/>
      <c r="BM73" s="59"/>
      <c r="BN73" s="59"/>
      <c r="BO73" s="66"/>
      <c r="BP73" s="62"/>
      <c r="BQ73" s="63"/>
      <c r="BR73" s="62"/>
      <c r="BS73" s="65"/>
      <c r="BT73" s="64"/>
      <c r="BU73" s="58"/>
      <c r="BV73" s="58"/>
      <c r="BW73" s="58"/>
      <c r="BX73" s="58"/>
      <c r="BY73" s="58"/>
      <c r="BZ73" s="58"/>
      <c r="CA73" s="58"/>
      <c r="CB73" s="61"/>
      <c r="CC73" s="62"/>
      <c r="CD73" s="65"/>
      <c r="CE73" s="64"/>
      <c r="CF73" s="58"/>
      <c r="CG73" s="58"/>
      <c r="CH73" s="58"/>
      <c r="CI73" s="58"/>
      <c r="CJ73" s="58"/>
      <c r="CK73" s="58"/>
      <c r="CL73" s="58"/>
      <c r="CM73" s="61"/>
      <c r="CN73" s="62"/>
      <c r="CO73" s="58"/>
      <c r="CP73" s="58"/>
      <c r="CQ73" s="65"/>
      <c r="CR73" s="58"/>
      <c r="CS73" s="58"/>
      <c r="CT73" s="58"/>
      <c r="CU73" s="58"/>
      <c r="CV73" s="58"/>
      <c r="CW73" s="58"/>
      <c r="CX73" s="61"/>
      <c r="CY73" s="62"/>
      <c r="CZ73" s="65"/>
      <c r="DA73" s="64"/>
      <c r="DB73" s="58"/>
      <c r="DC73" s="58"/>
      <c r="DD73" s="58"/>
      <c r="DE73" s="58"/>
      <c r="DF73" s="58"/>
      <c r="DG73" s="58"/>
      <c r="DH73" s="58"/>
      <c r="DI73" s="61"/>
    </row>
    <row r="74" spans="1:113" ht="18.75" thickBot="1" x14ac:dyDescent="0.4">
      <c r="A74" s="37"/>
      <c r="B74" s="40" t="s">
        <v>158</v>
      </c>
      <c r="C74" s="40" t="s">
        <v>180</v>
      </c>
      <c r="D74" s="40" t="s">
        <v>123</v>
      </c>
      <c r="E74" s="67"/>
      <c r="F74" s="40" t="s">
        <v>690</v>
      </c>
      <c r="G74" s="67"/>
      <c r="H74" s="67"/>
      <c r="I74" s="40" t="s">
        <v>124</v>
      </c>
      <c r="J74" s="35" t="s">
        <v>278</v>
      </c>
      <c r="K74" s="68" t="s">
        <v>145</v>
      </c>
      <c r="L74" s="505">
        <f ca="1">CHOOSE($C$78,VLOOKUP(C77,datos_temperatura_media[],1+CÁLCULOS!$L$57,FALSE),INDIRECT("'ANEXO CÁLCULOS'!C"&amp;3+L57))</f>
        <v>5</v>
      </c>
      <c r="M74" s="506" t="s">
        <v>275</v>
      </c>
      <c r="N74" s="507">
        <f ca="1">CHOOSE($C$80,IF(ϴe_H3_C1&lt;20,20,IF(CÁLCULOS!ϴe_H3_C1&lt;25,,25)),INDIRECT("'ANEXO CÁLCULOS'!E"&amp;3+L57))</f>
        <v>20</v>
      </c>
      <c r="O74" s="36" t="s">
        <v>735</v>
      </c>
      <c r="P74" s="513">
        <f ca="1">Pi_HR_1_H3_C1-Pe_H3_C1</f>
        <v>518.08234687972265</v>
      </c>
      <c r="Q74" s="538"/>
      <c r="R74" s="38"/>
      <c r="S74" s="38"/>
      <c r="T74" s="71"/>
      <c r="U74" s="71"/>
      <c r="V74" s="38"/>
      <c r="W74" s="72"/>
      <c r="X74" s="111"/>
      <c r="Y74" s="77" t="s">
        <v>160</v>
      </c>
      <c r="Z74" s="67" t="b">
        <f ca="1">IF(SUMIF(Z60:Z72,"&gt;0",Z60:Z72)&gt;0,TRUE,FALSE)</f>
        <v>1</v>
      </c>
      <c r="AA74" s="38"/>
      <c r="AB74" s="38"/>
      <c r="AC74" s="38"/>
      <c r="AD74" s="38"/>
      <c r="AE74" s="38"/>
      <c r="AF74" s="38"/>
      <c r="AG74" s="38"/>
      <c r="AH74" s="72"/>
      <c r="AI74" s="111"/>
      <c r="AJ74" s="77" t="s">
        <v>160</v>
      </c>
      <c r="AK74" s="67" t="b">
        <f ca="1">IF(SUMIF(AK60:AK72,"&gt;0",AK60:AK72)&gt;0,TRUE,FALSE)</f>
        <v>1</v>
      </c>
      <c r="AL74" s="38"/>
      <c r="AM74" s="38"/>
      <c r="AN74" s="38"/>
      <c r="AO74" s="38"/>
      <c r="AP74" s="38"/>
      <c r="AQ74" s="38"/>
      <c r="AR74" s="38"/>
      <c r="AS74" s="38"/>
      <c r="AT74" s="111"/>
      <c r="AU74" s="77" t="s">
        <v>160</v>
      </c>
      <c r="AV74" s="67" t="b">
        <f ca="1">IF(SUMIF(AV60:AV72,"&gt;0",AV60:AV72)&gt;0,TRUE,FALSE)</f>
        <v>0</v>
      </c>
      <c r="AW74" s="38"/>
      <c r="AX74" s="38"/>
      <c r="AY74" s="38"/>
      <c r="AZ74" s="38"/>
      <c r="BA74" s="38"/>
      <c r="BB74" s="38"/>
      <c r="BC74" s="38"/>
      <c r="BD74" s="72"/>
      <c r="BF74" s="37"/>
      <c r="BG74" s="40" t="s">
        <v>158</v>
      </c>
      <c r="BH74" s="40" t="s">
        <v>180</v>
      </c>
      <c r="BI74" s="40" t="s">
        <v>123</v>
      </c>
      <c r="BJ74" s="67"/>
      <c r="BK74" s="67"/>
      <c r="BL74" s="67"/>
      <c r="BM74" s="67"/>
      <c r="BN74" s="40" t="s">
        <v>124</v>
      </c>
      <c r="BO74" s="72"/>
      <c r="BP74" s="68" t="s">
        <v>144</v>
      </c>
      <c r="BQ74" s="73">
        <f>IF(Seccion1!Casilla1,φe_H1_C1,VLOOKUP(Seccion1!provincia_C2,datos_humedad_julio[],$BQ$3+2,FALSE))</f>
        <v>0.95</v>
      </c>
      <c r="BR74" s="111"/>
      <c r="BS74" s="77" t="s">
        <v>160</v>
      </c>
      <c r="BT74" s="70" t="b">
        <f ca="1">IF(SUMIF(BT60:BT72,"&gt;0",BT60:BT72)&gt;0,TRUE,FALSE)</f>
        <v>0</v>
      </c>
      <c r="BU74" s="38"/>
      <c r="BV74" s="38"/>
      <c r="BW74" s="38"/>
      <c r="BX74" s="38"/>
      <c r="BY74" s="38"/>
      <c r="BZ74" s="38"/>
      <c r="CA74" s="38"/>
      <c r="CB74" s="72"/>
      <c r="CC74" s="111"/>
      <c r="CD74" s="77" t="s">
        <v>160</v>
      </c>
      <c r="CE74" s="70" t="b">
        <f ca="1">IF(SUMIF(CE60:CE72,"&gt;0",CE60:CE72)&gt;0,TRUE,FALSE)</f>
        <v>0</v>
      </c>
      <c r="CF74" s="38"/>
      <c r="CG74" s="38"/>
      <c r="CH74" s="38"/>
      <c r="CI74" s="38"/>
      <c r="CJ74" s="38"/>
      <c r="CK74" s="38"/>
      <c r="CL74" s="38"/>
      <c r="CM74" s="72"/>
      <c r="CN74" s="111"/>
      <c r="CO74" s="77" t="s">
        <v>160</v>
      </c>
      <c r="CP74" s="70" t="b">
        <f ca="1">IF(SUMIF(CP60:CP72,"&gt;0",CP60:CP72)&gt;0,TRUE,FALSE)</f>
        <v>0</v>
      </c>
      <c r="CQ74" s="38"/>
      <c r="CR74" s="38"/>
      <c r="CS74" s="38"/>
      <c r="CT74" s="38"/>
      <c r="CU74" s="38"/>
      <c r="CV74" s="38"/>
      <c r="CW74" s="38"/>
      <c r="CX74" s="72"/>
      <c r="CY74" s="111"/>
      <c r="CZ74" s="77" t="s">
        <v>160</v>
      </c>
      <c r="DA74" s="70" t="b">
        <f>IF(SUMIF(DA60:DA72,"&gt;0",DA60:DA72)&gt;0,TRUE,FALSE)</f>
        <v>0</v>
      </c>
      <c r="DB74" s="38"/>
      <c r="DC74" s="38"/>
      <c r="DD74" s="38"/>
      <c r="DE74" s="38"/>
      <c r="DF74" s="38"/>
      <c r="DG74" s="38"/>
      <c r="DH74" s="38"/>
      <c r="DI74" s="72"/>
    </row>
    <row r="75" spans="1:113" ht="15.75" thickBot="1" x14ac:dyDescent="0.3">
      <c r="A75" s="57"/>
      <c r="B75" s="59">
        <f>COUNT(d_VN_C1)</f>
        <v>5</v>
      </c>
      <c r="C75" s="326">
        <f t="array" ref="C75">IF(Capas_VN_C1&gt;0,SUM(IFERROR($C$60:$C$73,0)),0)</f>
        <v>0.22300000000000003</v>
      </c>
      <c r="D75" s="326">
        <f t="array" ref="D75">IF(Capas_VN_C1&gt;0,SUM(IFERROR($D$60:$D$73,0)),0)</f>
        <v>6.915</v>
      </c>
      <c r="E75" s="59"/>
      <c r="F75" s="59">
        <v>1</v>
      </c>
      <c r="G75" s="59"/>
      <c r="H75" s="59"/>
      <c r="I75" s="74">
        <f>SUMIFS(I60:I72,I60:I72,"&gt;0")</f>
        <v>6030.12</v>
      </c>
      <c r="J75" s="48">
        <v>0.8</v>
      </c>
      <c r="K75" s="75" t="s">
        <v>144</v>
      </c>
      <c r="L75" s="22">
        <f ca="1">CHOOSE($C$79,VLOOKUP(C77,datos_humedad_media[],1+CÁLCULOS!$L$57,FALSE),INDIRECT("'ANEXO CÁLCULOS'!D"&amp;3+L57))</f>
        <v>0.88</v>
      </c>
      <c r="M75" s="80" t="s">
        <v>771</v>
      </c>
      <c r="N75" s="508">
        <f ca="1">CHOOSE($C$81,IF(ϴe_H3_C1&lt;-10,CHOOSE($C$82,0.35,0.4),IF(ϴe_H3_C1&lt;=20,0.01*ϴe_H3_C1+CHOOSE($C$82,0.45,0.5),CHOOSE(C82,0.65,0.7))),ROUND((VLOOKUP(ϴe_H3_C1,Aux!$AR$62:$AW$68,C83+1,TRUE)+Pe_H3_C1)/P_sat_i_VN_C1,2),ROUND((C86*Rv*(273.15+N74)/($C$85*$C$84)+Pe_H3_C1)/P_sat_i_VN_C1,2),INDIRECT("'ANEXO CÁLCULOS'!F"&amp;3+L57))</f>
        <v>0.55000000000000004</v>
      </c>
      <c r="O75" s="68" t="s">
        <v>780</v>
      </c>
      <c r="P75" s="507" t="b">
        <f ca="1">IF(SUMIF(O60:O72,"&gt;0",O60:O72)&gt;0,TRUE,FALSE)</f>
        <v>1</v>
      </c>
      <c r="Q75" s="539"/>
      <c r="T75" s="48"/>
      <c r="U75" s="48"/>
      <c r="W75" s="49"/>
      <c r="X75" s="112"/>
      <c r="Y75" s="80" t="s">
        <v>162</v>
      </c>
      <c r="Z75" s="48">
        <f ca="1">SUMIF(Z60:Z72,"&gt;0",Z60:Z72)</f>
        <v>3</v>
      </c>
      <c r="AH75" s="49"/>
      <c r="AI75" s="112"/>
      <c r="AJ75" s="80" t="s">
        <v>162</v>
      </c>
      <c r="AK75" s="48">
        <f ca="1">SUMIF(AK60:AK72,"&gt;0",AK60:AK72)</f>
        <v>3</v>
      </c>
      <c r="AT75" s="112"/>
      <c r="AU75" s="80" t="s">
        <v>162</v>
      </c>
      <c r="AV75" s="48">
        <f ca="1">SUMIF(AV60:AV72,"&gt;0",AV60:AV72)</f>
        <v>0</v>
      </c>
      <c r="BD75" s="49"/>
      <c r="BF75" s="57"/>
      <c r="BG75" s="59">
        <f>COUNTA(#REF!)</f>
        <v>1</v>
      </c>
      <c r="BH75" s="59" t="e">
        <f>IF(SUM(#REF!)&gt;0,SUM(#REF!),"")</f>
        <v>#REF!</v>
      </c>
      <c r="BI75" s="59" t="e">
        <f>IF(SUM(#REF!)&gt;0,Rse_H3+SUM(#REF!)+Rsi_H3,"")</f>
        <v>#REF!</v>
      </c>
      <c r="BJ75" s="59"/>
      <c r="BK75" s="59"/>
      <c r="BL75" s="59"/>
      <c r="BM75" s="59"/>
      <c r="BN75" s="74">
        <f>SUMIFS(BN60:BN72,BN60:BN72,"&gt;0")</f>
        <v>0</v>
      </c>
      <c r="BO75" s="61"/>
      <c r="BP75" s="75" t="s">
        <v>145</v>
      </c>
      <c r="BQ75" s="76">
        <f>IF(Seccion1!Casilla1,ϴe_H1_C1,VLOOKUP(Seccion1!provincia_C2,datos_temperatura_julio[],$BQ$3+2,FALSE))</f>
        <v>-0.4</v>
      </c>
      <c r="BR75" s="112"/>
      <c r="BS75" s="80" t="s">
        <v>162</v>
      </c>
      <c r="BT75" s="17">
        <f ca="1">SUMIF(BT60:BT72,"&gt;0",BT60:BT72)</f>
        <v>0</v>
      </c>
      <c r="CB75" s="49"/>
      <c r="CC75" s="112"/>
      <c r="CD75" s="80" t="s">
        <v>162</v>
      </c>
      <c r="CE75" s="17">
        <f ca="1">SUMIF(CE60:CE72,"&gt;0",CE60:CE72)</f>
        <v>0</v>
      </c>
      <c r="CM75" s="49"/>
      <c r="CN75" s="112"/>
      <c r="CO75" s="80" t="s">
        <v>162</v>
      </c>
      <c r="CP75" s="17">
        <f ca="1">SUMIF(CP60:CP72,"&gt;0",CP60:CP72)</f>
        <v>0</v>
      </c>
      <c r="CX75" s="49"/>
      <c r="CY75" s="112"/>
      <c r="CZ75" s="80" t="s">
        <v>162</v>
      </c>
      <c r="DA75" s="17">
        <f>SUMIF(DA60:DA72,"&gt;0",DA60:DA72)</f>
        <v>0</v>
      </c>
      <c r="DI75" s="49"/>
    </row>
    <row r="76" spans="1:113" ht="18" x14ac:dyDescent="0.35">
      <c r="F76" s="15" t="str">
        <f>CHOOSE($F$75,Aux!AK30,Aux!AK31)</f>
        <v>Ventana o puerta</v>
      </c>
      <c r="H76" s="77" t="s">
        <v>14</v>
      </c>
      <c r="I76" s="38"/>
      <c r="K76" s="75" t="s">
        <v>108</v>
      </c>
      <c r="L76" s="79">
        <f ca="1">IF(ISNUMBER(ϴe_H3_C1),IF(ϴe_H3_C1&gt;=0,610.5*EXP((17.269*ϴe_H3_C1)/(237.3+ϴe_H3_C1)),610.5*EXP((21.875*ϴe_H3_C1)/(265.5+ϴe_H3_C1))),NA())</f>
        <v>871.86452524041533</v>
      </c>
      <c r="M76" s="80" t="s">
        <v>109</v>
      </c>
      <c r="N76" s="78">
        <f ca="1">IF(ISNUMBER($N$74),IF($N$74&gt;=0,610.5*EXP((17.269*$N$74)/(237.3+$N$74)),610.5*EXP((21.875*$N$74)/(265.5+$N$74))),NA())</f>
        <v>2336.9511438023419</v>
      </c>
      <c r="O76" s="75" t="s">
        <v>782</v>
      </c>
      <c r="P76" s="508">
        <f ca="1">SUMIF(O60:O72,"&gt;0",O60:O72)</f>
        <v>1</v>
      </c>
      <c r="Q76" s="539"/>
      <c r="R76" s="525"/>
      <c r="T76" s="519"/>
      <c r="X76" s="113"/>
      <c r="Y76" s="80" t="s">
        <v>125</v>
      </c>
      <c r="Z76" s="79">
        <f ca="1">IFERROR(Pi_HR_2_H3_C1/$J$75,NA())</f>
        <v>2190.8916973146952</v>
      </c>
      <c r="AH76" s="49"/>
      <c r="AI76" s="113"/>
      <c r="AJ76" s="80" t="s">
        <v>125</v>
      </c>
      <c r="AK76" s="79">
        <f ca="1">IFERROR(Pi_HR_3_H3_C1/$J$75,NA())</f>
        <v>2336.9511438023419</v>
      </c>
      <c r="AT76" s="113"/>
      <c r="AU76" s="80" t="s">
        <v>125</v>
      </c>
      <c r="AV76" s="79">
        <f ca="1">IFERROR(Pi_HR_4_H3_C1/$J$75,NA())</f>
        <v>0</v>
      </c>
      <c r="BD76" s="49"/>
      <c r="BM76" s="15" t="str">
        <f>Seccion1!direccion_flujo_C2</f>
        <v>Horizontal</v>
      </c>
      <c r="BP76" s="75" t="s">
        <v>108</v>
      </c>
      <c r="BQ76" s="73">
        <f>IF(ISNUMBER(ϴe_H3_C2),IF(ϴe_H3_C2&gt;=0,610.5*EXP((17.269*ϴe_H3_C2)/(237.3+ϴe_H3_C2)),610.5*EXP((21.875*ϴe_H3_C2)/(265.5+ϴe_H3_C2))),NA())</f>
        <v>590.67850278800859</v>
      </c>
      <c r="BR76" s="113"/>
      <c r="BS76" s="80" t="s">
        <v>125</v>
      </c>
      <c r="BT76" s="79">
        <f ca="1">IFERROR(Pi_HR_1_H3_C2/Seccion1!φsicr_C2,NA())</f>
        <v>1519.0182434715223</v>
      </c>
      <c r="CB76" s="49"/>
      <c r="CC76" s="113"/>
      <c r="CD76" s="80" t="s">
        <v>125</v>
      </c>
      <c r="CE76" s="79">
        <f ca="1">IFERROR(Pi_HR_2_H3_C2/Seccion1!φsicr_C2,NA())</f>
        <v>1752.7133578517564</v>
      </c>
      <c r="CM76" s="49"/>
      <c r="CN76" s="113"/>
      <c r="CO76" s="80" t="s">
        <v>125</v>
      </c>
      <c r="CP76" s="79">
        <f ca="1">IFERROR(Pi_HR_3_H3_C2/Seccion1!φsicr_C2,NA())</f>
        <v>1869.5609150418736</v>
      </c>
      <c r="CX76" s="49"/>
      <c r="CY76" s="113"/>
      <c r="CZ76" s="80" t="s">
        <v>125</v>
      </c>
      <c r="DA76" s="79" t="e">
        <f>IFERROR(Pi_HR_4_H3_C2/Seccion1!φsicr_C2,NA())</f>
        <v>#N/A</v>
      </c>
      <c r="DI76" s="49"/>
    </row>
    <row r="77" spans="1:113" ht="18.75" thickBot="1" x14ac:dyDescent="0.4">
      <c r="B77" s="15" t="s">
        <v>743</v>
      </c>
      <c r="C77" s="15" t="s">
        <v>705</v>
      </c>
      <c r="H77" s="80" t="s">
        <v>25</v>
      </c>
      <c r="I77" s="22">
        <f>CHOOSE($F$75,VLOOKUP($H$76,Rsi_ventana_puerta,2,FALSE),Rsi_opaco)</f>
        <v>0.13</v>
      </c>
      <c r="K77" s="486" t="s">
        <v>156</v>
      </c>
      <c r="L77" s="509">
        <f ca="1">P_sat_e_VN_C1*φe_H3_C1</f>
        <v>767.24078221156549</v>
      </c>
      <c r="M77" s="115" t="s">
        <v>781</v>
      </c>
      <c r="N77" s="487">
        <f ca="1">P_sat_i_VN_C1*N75</f>
        <v>1285.3231290912881</v>
      </c>
      <c r="O77" s="75" t="s">
        <v>161</v>
      </c>
      <c r="P77" s="508">
        <f ca="1">(δ_0*(P74)/Sd_T_H3_C1)</f>
        <v>1.7183152138920043E-11</v>
      </c>
      <c r="Q77" s="539"/>
      <c r="X77" s="113"/>
      <c r="Y77" s="80" t="s">
        <v>126</v>
      </c>
      <c r="Z77" s="82">
        <f ca="1">IFERROR(IF(Z$76&lt;610.5,((265.5)*(LOG(Z$76/610.5,EXP(1)))/((21.875)-(LOG(Z$76/610.5,EXP(1))))),((237.3)*(LOG(Z$76/610.5,EXP(1)))/((17.269)-(LOG(Z$76/610.5,EXP(1)))))),NA())</f>
        <v>18.961569703964912</v>
      </c>
      <c r="AH77" s="49"/>
      <c r="AI77" s="113"/>
      <c r="AJ77" s="80" t="s">
        <v>126</v>
      </c>
      <c r="AK77" s="82">
        <f ca="1">IFERROR(IF(AK$76&lt;610.5,((265.5)*(LOG(AK$76/610.5,EXP(1)))/((21.875)-(LOG(AK$76/610.5,EXP(1))))),((237.3)*(LOG(AK$76/610.5,EXP(1)))/((17.269)-(LOG(AK$76/610.5,EXP(1)))))),NA())</f>
        <v>19.999999999999996</v>
      </c>
      <c r="AT77" s="113"/>
      <c r="AU77" s="80" t="s">
        <v>126</v>
      </c>
      <c r="AV77" s="82" t="e">
        <f ca="1">IFERROR(IF(AV$76&lt;610.5,((265.5)*(LOG(AV$76/610.5,EXP(1)))/((21.875)-(LOG(AV$76/610.5,EXP(1))))),((237.3)*(LOG(AV$76/610.5,EXP(1)))/((17.269)-(LOG(AV$76/610.5,EXP(1)))))),NA())</f>
        <v>#N/A</v>
      </c>
      <c r="BD77" s="49"/>
      <c r="BM77" s="28" t="s">
        <v>25</v>
      </c>
      <c r="BN77" s="22">
        <f>VLOOKUP(BM76,Rsi_ventana_puerta,2,FALSE)</f>
        <v>0.13</v>
      </c>
      <c r="BP77" s="75" t="s">
        <v>109</v>
      </c>
      <c r="BQ77" s="73" t="e">
        <f>IF(ISNUMBER([0]!ϴi_C2),IF([0]!ϴi_C2&gt;=0,610.5*EXP((17.269*[0]!ϴi_C2)/(237.3+[0]!ϴi_C2)),610.5*EXP((21.875*[0]!ϴi_C2)/(265.5+[0]!ϴi_C2))),NA())</f>
        <v>#N/A</v>
      </c>
      <c r="BR77" s="113"/>
      <c r="BS77" s="80" t="s">
        <v>126</v>
      </c>
      <c r="BT77" s="82">
        <f ca="1">IFERROR(IF(BT$76&lt;610.5,((265.5)*(LOG(BT$76/610.5,EXP(1)))/((21.875)-(LOG(BT$76/610.5,EXP(1))))),((237.3)*(LOG(BT$76/610.5,EXP(1)))/((17.269)-(LOG(BT$76/610.5,EXP(1)))))),NA())</f>
        <v>13.223859170569497</v>
      </c>
      <c r="CB77" s="49"/>
      <c r="CC77" s="113"/>
      <c r="CD77" s="80" t="s">
        <v>126</v>
      </c>
      <c r="CE77" s="82">
        <f ca="1">IFERROR(IF(CE$76&lt;610.5,((265.5)*(LOG(CE$76/610.5,EXP(1)))/((21.875)-(LOG(CE$76/610.5,EXP(1))))),((237.3)*(LOG(CE$76/610.5,EXP(1)))/((17.269)-(LOG(CE$76/610.5,EXP(1)))))),NA())</f>
        <v>15.434873367879987</v>
      </c>
      <c r="CM77" s="49"/>
      <c r="CN77" s="113"/>
      <c r="CO77" s="80" t="s">
        <v>126</v>
      </c>
      <c r="CP77" s="82">
        <f ca="1">IFERROR(IF(CP$76&lt;610.5,((265.5)*(LOG(CP$76/610.5,EXP(1)))/((21.875)-(LOG(CP$76/610.5,EXP(1))))),((237.3)*(LOG(CP$76/610.5,EXP(1)))/((17.269)-(LOG(CP$76/610.5,EXP(1)))))),NA())</f>
        <v>16.444862058578927</v>
      </c>
      <c r="CX77" s="49"/>
      <c r="CY77" s="113"/>
      <c r="CZ77" s="80" t="s">
        <v>126</v>
      </c>
      <c r="DA77" s="82" t="e">
        <f>IFERROR(IF(DA$76&lt;610.5,((265.5)*(LOG(DA$76/610.5,EXP(1)))/((21.875)-(LOG(DA$76/610.5,EXP(1))))),((237.3)*(LOG(DA$76/610.5,EXP(1)))/((17.269)-(LOG(DA$76/610.5,EXP(1)))))),NA())</f>
        <v>#N/A</v>
      </c>
      <c r="DI77" s="49"/>
    </row>
    <row r="78" spans="1:113" ht="18" x14ac:dyDescent="0.35">
      <c r="B78" s="17" t="s">
        <v>762</v>
      </c>
      <c r="C78" s="15">
        <v>2</v>
      </c>
      <c r="D78" s="15" t="str">
        <f>VLOOKUP($C$78,Aux!$AM$68:$AN$69,2,FALSE)</f>
        <v>Definido por usuario</v>
      </c>
      <c r="H78" s="80" t="s">
        <v>105</v>
      </c>
      <c r="I78" s="22">
        <f>Rse</f>
        <v>0.04</v>
      </c>
      <c r="K78" s="68" t="s">
        <v>779</v>
      </c>
      <c r="L78" s="70" t="b">
        <f ca="1">IF(RT_H3_C1&lt;=N80,TRUE,FALSE)</f>
        <v>0</v>
      </c>
      <c r="M78" s="38"/>
      <c r="N78" s="72"/>
      <c r="O78" s="75" t="s">
        <v>628</v>
      </c>
      <c r="P78" s="49"/>
      <c r="Q78" s="539"/>
      <c r="X78" s="113"/>
      <c r="Y78" s="80" t="s">
        <v>127</v>
      </c>
      <c r="Z78" s="83">
        <f ca="1">IFERROR((Z$77-ϴe_H3_C1)/(N74-ϴe_H3_C1),NA())</f>
        <v>0.93077131359766085</v>
      </c>
      <c r="AH78" s="49"/>
      <c r="AI78" s="113"/>
      <c r="AJ78" s="80" t="s">
        <v>127</v>
      </c>
      <c r="AK78" s="83" t="e">
        <f ca="1">IFERROR((AK$77-ϴe_H3_C1)/([0]!ϴi_C1-ϴe_H3_C1),NA())</f>
        <v>#N/A</v>
      </c>
      <c r="AT78" s="113"/>
      <c r="AU78" s="80" t="s">
        <v>127</v>
      </c>
      <c r="AV78" s="83" t="e">
        <f ca="1">IFERROR((AV$77-ϴe_H3_C1)/([0]!ϴi_C1-ϴe_H3_C1),NA())</f>
        <v>#N/A</v>
      </c>
      <c r="BD78" s="49"/>
      <c r="BM78" s="28" t="s">
        <v>105</v>
      </c>
      <c r="BN78" s="22" t="e">
        <f>VLOOKUP(BM76,Rsi_ventana_puerta,3,FALSE)</f>
        <v>#REF!</v>
      </c>
      <c r="BP78" s="75" t="s">
        <v>156</v>
      </c>
      <c r="BQ78" s="73">
        <f>P_sat_e_VN_C2*φe_H3_C2</f>
        <v>561.14457764860811</v>
      </c>
      <c r="BR78" s="113"/>
      <c r="BS78" s="80" t="s">
        <v>127</v>
      </c>
      <c r="BT78" s="83" t="e">
        <f ca="1">IFERROR((BT$77-ϴe_H3_C2)/([0]!ϴi_C2-ϴe_H3_C2),NA())</f>
        <v>#N/A</v>
      </c>
      <c r="CB78" s="49"/>
      <c r="CC78" s="113"/>
      <c r="CD78" s="80" t="s">
        <v>127</v>
      </c>
      <c r="CE78" s="83" t="e">
        <f ca="1">IFERROR((CE$77-ϴe_H3_C2)/([0]!ϴi_C2-ϴe_H3_C2),NA())</f>
        <v>#N/A</v>
      </c>
      <c r="CM78" s="49"/>
      <c r="CN78" s="113"/>
      <c r="CO78" s="80" t="s">
        <v>127</v>
      </c>
      <c r="CP78" s="83" t="e">
        <f ca="1">IFERROR((CP$77-ϴe_H3_C2)/([0]!ϴi_C2-ϴe_H3_C2),NA())</f>
        <v>#N/A</v>
      </c>
      <c r="CX78" s="49"/>
      <c r="CY78" s="113"/>
      <c r="CZ78" s="80" t="s">
        <v>127</v>
      </c>
      <c r="DA78" s="83" t="e">
        <f>IFERROR((DA$77-ϴe_H3_C2)/([0]!ϴi_C2-ϴe_H3_C2),NA())</f>
        <v>#N/A</v>
      </c>
      <c r="DI78" s="49"/>
    </row>
    <row r="79" spans="1:113" ht="18" x14ac:dyDescent="0.35">
      <c r="B79" s="15" t="s">
        <v>761</v>
      </c>
      <c r="C79" s="15">
        <v>2</v>
      </c>
      <c r="D79" s="15" t="str">
        <f>VLOOKUP($C$79,Aux!$AM$68:$AN$69,2,FALSE)</f>
        <v>Definido por usuario</v>
      </c>
      <c r="K79" s="75" t="s">
        <v>125</v>
      </c>
      <c r="L79" s="79">
        <f ca="1">IFERROR(Pi_HR_1_H3_C1/$J$75,NA())</f>
        <v>1606.6539113641102</v>
      </c>
      <c r="M79" s="80" t="s">
        <v>126</v>
      </c>
      <c r="N79" s="76">
        <f ca="1">IFERROR(IF(L$79&lt;610.5,((265.5)*(LOG(L$79/610.5,EXP(1)))/((21.875)-(LOG(L$79/610.5,EXP(1))))),((237.3)*(LOG(L$79/610.5,EXP(1)))/((17.269)-(LOG(L$79/610.5,EXP(1)))))),NA())</f>
        <v>14.085857287010302</v>
      </c>
      <c r="O79" s="43"/>
      <c r="P79" s="49"/>
      <c r="Q79" s="539"/>
      <c r="X79" s="114"/>
      <c r="Y79" s="80" t="s">
        <v>122</v>
      </c>
      <c r="Z79" s="22">
        <f ca="1">IFERROR(Rsi_H3/(1-Z$78),NA())</f>
        <v>1.8778342729843778</v>
      </c>
      <c r="AH79" s="49"/>
      <c r="AI79" s="114"/>
      <c r="AJ79" s="80" t="s">
        <v>122</v>
      </c>
      <c r="AK79" s="22" t="e">
        <f ca="1">IFERROR(Rsi_H3/(1-AK$78),NA())</f>
        <v>#N/A</v>
      </c>
      <c r="AT79" s="114"/>
      <c r="AU79" s="80" t="s">
        <v>122</v>
      </c>
      <c r="AV79" s="22" t="e">
        <f ca="1">IFERROR(Rsi_H3/(1-AV$78),NA())</f>
        <v>#N/A</v>
      </c>
      <c r="BD79" s="49"/>
      <c r="BP79" s="75" t="s">
        <v>154</v>
      </c>
      <c r="BQ79" s="73">
        <f>Seccion1!φi_C2</f>
        <v>0.91000000000000059</v>
      </c>
      <c r="BR79" s="114"/>
      <c r="BS79" s="80" t="s">
        <v>122</v>
      </c>
      <c r="BT79" s="22" t="e">
        <f ca="1">IFERROR(Rsi_H3/(1-BT$78),NA())</f>
        <v>#N/A</v>
      </c>
      <c r="CB79" s="49"/>
      <c r="CC79" s="114"/>
      <c r="CD79" s="80" t="s">
        <v>122</v>
      </c>
      <c r="CE79" s="22" t="e">
        <f ca="1">IFERROR(Rsi_H3/(1-CE$78),NA())</f>
        <v>#N/A</v>
      </c>
      <c r="CM79" s="49"/>
      <c r="CN79" s="114"/>
      <c r="CO79" s="80" t="s">
        <v>122</v>
      </c>
      <c r="CP79" s="22" t="e">
        <f ca="1">IFERROR(Rsi_H3/(1-CP$78),NA())</f>
        <v>#N/A</v>
      </c>
      <c r="CX79" s="49"/>
      <c r="CY79" s="114"/>
      <c r="CZ79" s="80" t="s">
        <v>122</v>
      </c>
      <c r="DA79" s="22" t="e">
        <f>IFERROR(Rsi_H3/(1-DA$78),NA())</f>
        <v>#N/A</v>
      </c>
      <c r="DI79" s="49"/>
    </row>
    <row r="80" spans="1:113" ht="18.75" thickBot="1" x14ac:dyDescent="0.4">
      <c r="B80" s="17" t="s">
        <v>755</v>
      </c>
      <c r="C80" s="15">
        <v>2</v>
      </c>
      <c r="D80" s="15" t="str">
        <f>VLOOKUP($C$80,Aux!$AM$64:$AN$65,2,FALSE)</f>
        <v>Definido por usuario</v>
      </c>
      <c r="K80" s="486" t="s">
        <v>127</v>
      </c>
      <c r="L80" s="512">
        <f ca="1">IFERROR((N$79-ϴe_H3_C1)/(N74-ϴe_H3_C1),NA())</f>
        <v>0.60572381913402018</v>
      </c>
      <c r="M80" s="115" t="s">
        <v>122</v>
      </c>
      <c r="N80" s="510">
        <f ca="1">IFERROR(Rsi_H3/(1-L$80),NA())</f>
        <v>0.32971811716972294</v>
      </c>
      <c r="O80" s="57"/>
      <c r="P80" s="61"/>
      <c r="Q80" s="539"/>
      <c r="X80" s="43"/>
      <c r="Y80" s="28" t="s">
        <v>159</v>
      </c>
      <c r="Z80" s="17" t="b">
        <f ca="1">IF(RT_H3_C1&lt;=Z79,TRUE,FALSE)</f>
        <v>0</v>
      </c>
      <c r="AH80" s="49"/>
      <c r="AI80" s="43"/>
      <c r="AJ80" s="28" t="s">
        <v>159</v>
      </c>
      <c r="AK80" s="17" t="e">
        <f ca="1">IF(RT_H3_C1&lt;=AK79,TRUE,FALSE)</f>
        <v>#N/A</v>
      </c>
      <c r="AT80" s="43"/>
      <c r="AU80" s="28" t="s">
        <v>159</v>
      </c>
      <c r="AV80" s="17" t="e">
        <f ca="1">IF(RT_H3_C1&lt;=AV79,TRUE,FALSE)</f>
        <v>#N/A</v>
      </c>
      <c r="BD80" s="49"/>
      <c r="BP80" s="43"/>
      <c r="BQ80" s="49"/>
      <c r="BR80" s="43"/>
      <c r="BS80" s="28" t="s">
        <v>159</v>
      </c>
      <c r="BT80" s="17" t="e">
        <f ca="1">IF(RT_H1_C2&lt;=BT79,TRUE,FALSE)</f>
        <v>#N/A</v>
      </c>
      <c r="CB80" s="49"/>
      <c r="CC80" s="43"/>
      <c r="CD80" s="28" t="s">
        <v>159</v>
      </c>
      <c r="CE80" s="17" t="e">
        <f ca="1">IF(RT_H1_C2&lt;=CE79,TRUE,FALSE)</f>
        <v>#N/A</v>
      </c>
      <c r="CM80" s="49"/>
      <c r="CN80" s="43"/>
      <c r="CO80" s="28" t="s">
        <v>159</v>
      </c>
      <c r="CP80" s="17" t="e">
        <f ca="1">IF(RT_H1_C2&lt;=CP79,TRUE,FALSE)</f>
        <v>#N/A</v>
      </c>
      <c r="CX80" s="49"/>
      <c r="CY80" s="43"/>
      <c r="CZ80" s="28" t="s">
        <v>159</v>
      </c>
      <c r="DA80" s="17" t="e">
        <f>IF(RT_H1_C2&lt;=DA79,TRUE,FALSE)</f>
        <v>#N/A</v>
      </c>
      <c r="DI80" s="49"/>
    </row>
    <row r="81" spans="2:113" ht="15.75" thickBot="1" x14ac:dyDescent="0.3">
      <c r="B81" s="15" t="s">
        <v>754</v>
      </c>
      <c r="C81" s="15">
        <v>4</v>
      </c>
      <c r="D81" s="15" t="str">
        <f>VLOOKUP($C$81,Aux!$AM$58:$AN$61,2,FALSE)</f>
        <v>Definido por usuario</v>
      </c>
      <c r="Q81" s="539"/>
      <c r="X81" s="58"/>
      <c r="Y81" s="115" t="s">
        <v>161</v>
      </c>
      <c r="Z81" s="84">
        <f ca="1">δ_0*(Pi_HR_2_H3_C1-Pe_H3_C1)/Sd_T_H3_C1</f>
        <v>3.2685007118935969E-11</v>
      </c>
      <c r="AA81" s="58"/>
      <c r="AB81" s="58"/>
      <c r="AC81" s="58"/>
      <c r="AD81" s="58"/>
      <c r="AE81" s="58"/>
      <c r="AF81" s="58"/>
      <c r="AG81" s="58"/>
      <c r="AH81" s="61"/>
      <c r="AI81" s="57"/>
      <c r="AJ81" s="115" t="s">
        <v>161</v>
      </c>
      <c r="AK81" s="84">
        <f ca="1">δ_0*(Pi_HR_3_H3_C1-Pe_H3_C1)/Sd_T_H3_C1</f>
        <v>3.6560470863939958E-11</v>
      </c>
      <c r="AL81" s="58"/>
      <c r="AM81" s="58"/>
      <c r="AN81" s="58"/>
      <c r="AO81" s="58"/>
      <c r="AP81" s="58"/>
      <c r="AQ81" s="58"/>
      <c r="AR81" s="58"/>
      <c r="AS81" s="58"/>
      <c r="AT81" s="57"/>
      <c r="AU81" s="115" t="s">
        <v>161</v>
      </c>
      <c r="AV81" s="84">
        <f ca="1">δ_0*(Pi_HR_4_H3_C1-Pe_H3_C1)/Sd_T_H3_C1</f>
        <v>-2.5446949056123778E-11</v>
      </c>
      <c r="AW81" s="58"/>
      <c r="AX81" s="58"/>
      <c r="AY81" s="58"/>
      <c r="AZ81" s="58"/>
      <c r="BA81" s="58"/>
      <c r="BB81" s="58"/>
      <c r="BC81" s="58"/>
      <c r="BD81" s="61"/>
      <c r="BP81" s="57"/>
      <c r="BQ81" s="61"/>
      <c r="BR81" s="57"/>
      <c r="BS81" s="115" t="s">
        <v>161</v>
      </c>
      <c r="BT81" s="84" t="e">
        <f ca="1">δ_0*(Pi_HR_1_H3_C2-Pe_H3_C2)/Sd_T_H3_C2</f>
        <v>#DIV/0!</v>
      </c>
      <c r="BU81" s="58"/>
      <c r="BV81" s="58"/>
      <c r="BW81" s="58"/>
      <c r="BX81" s="58"/>
      <c r="BY81" s="58"/>
      <c r="BZ81" s="58"/>
      <c r="CA81" s="58"/>
      <c r="CB81" s="61"/>
      <c r="CC81" s="57"/>
      <c r="CD81" s="115" t="s">
        <v>161</v>
      </c>
      <c r="CE81" s="84" t="e">
        <f ca="1">δ_0*(Pi_HR_2_H3_C2-Pe_H3_C2)/Sd_T_H3_C2</f>
        <v>#DIV/0!</v>
      </c>
      <c r="CF81" s="58"/>
      <c r="CG81" s="58"/>
      <c r="CH81" s="58"/>
      <c r="CI81" s="58"/>
      <c r="CJ81" s="58"/>
      <c r="CK81" s="58"/>
      <c r="CL81" s="58"/>
      <c r="CM81" s="61"/>
      <c r="CN81" s="57"/>
      <c r="CO81" s="115" t="s">
        <v>161</v>
      </c>
      <c r="CP81" s="84" t="e">
        <f ca="1">δ_0*(Pi_HR_3_H3_C2-Pe_H3_C2)/Sd_T_H3_C2</f>
        <v>#DIV/0!</v>
      </c>
      <c r="CQ81" s="58"/>
      <c r="CR81" s="58"/>
      <c r="CS81" s="58"/>
      <c r="CT81" s="58"/>
      <c r="CU81" s="58"/>
      <c r="CV81" s="58"/>
      <c r="CW81" s="58"/>
      <c r="CX81" s="61"/>
      <c r="CY81" s="57"/>
      <c r="CZ81" s="115" t="s">
        <v>161</v>
      </c>
      <c r="DA81" s="84" t="e">
        <f>δ_0*(Pi_HR_4_H3_C2-Pe_H3_C2)/Sd_T_H3_C2</f>
        <v>#N/A</v>
      </c>
      <c r="DB81" s="58"/>
      <c r="DC81" s="58"/>
      <c r="DD81" s="58"/>
      <c r="DE81" s="58"/>
      <c r="DF81" s="58"/>
      <c r="DG81" s="58"/>
      <c r="DH81" s="58"/>
      <c r="DI81" s="61"/>
    </row>
    <row r="82" spans="2:113" ht="15.75" thickBot="1" x14ac:dyDescent="0.3">
      <c r="B82" s="15" t="s">
        <v>742</v>
      </c>
      <c r="C82" s="15">
        <v>2</v>
      </c>
      <c r="D82" s="15" t="str">
        <f>HLOOKUP($C$82,Aux!AS40:AT42,3,FALSE)</f>
        <v>Alta</v>
      </c>
      <c r="G82" s="48"/>
      <c r="Q82" s="539"/>
      <c r="Y82" s="80"/>
      <c r="Z82" s="17"/>
      <c r="AJ82" s="80"/>
      <c r="AK82" s="17"/>
      <c r="AU82" s="80"/>
      <c r="AV82" s="17"/>
      <c r="BS82" s="80"/>
      <c r="BT82" s="17"/>
      <c r="CD82" s="80"/>
      <c r="CE82" s="17"/>
      <c r="CO82" s="80"/>
      <c r="CP82" s="17"/>
      <c r="CZ82" s="80"/>
      <c r="DA82" s="17"/>
    </row>
    <row r="83" spans="2:113" ht="15.75" thickBot="1" x14ac:dyDescent="0.3">
      <c r="B83" s="15" t="s">
        <v>745</v>
      </c>
      <c r="C83" s="15">
        <v>2</v>
      </c>
      <c r="D83" s="15" t="str">
        <f>VLOOKUP($C$83,Aux!$AR$71:$AS$75,2,FALSE)</f>
        <v>Oficinas, viviendas con ocupación normal y ventilación</v>
      </c>
      <c r="K83" s="516" t="s">
        <v>179</v>
      </c>
      <c r="L83" s="30">
        <v>12</v>
      </c>
      <c r="M83" s="110" t="str">
        <f>VLOOKUP(L83,Aux!$AL$72:$AM$83,2,FALSE)</f>
        <v>Diciembre</v>
      </c>
      <c r="N83" s="32"/>
      <c r="O83" s="32"/>
      <c r="P83" s="32"/>
      <c r="Q83" s="540"/>
      <c r="R83" s="32"/>
      <c r="S83" s="32"/>
      <c r="T83" s="32"/>
      <c r="U83" s="32"/>
      <c r="V83" s="32"/>
      <c r="W83" s="32"/>
      <c r="X83" s="33"/>
      <c r="AJ83" s="80"/>
      <c r="AK83" s="17"/>
      <c r="AU83" s="80"/>
      <c r="AV83" s="17"/>
      <c r="BS83" s="80"/>
      <c r="BT83" s="17"/>
      <c r="CD83" s="80"/>
      <c r="CE83" s="17"/>
      <c r="CO83" s="80"/>
      <c r="CP83" s="17"/>
      <c r="CZ83" s="80"/>
      <c r="DA83" s="17"/>
    </row>
    <row r="84" spans="2:113" ht="15.75" thickBot="1" x14ac:dyDescent="0.3">
      <c r="B84" s="15" t="s">
        <v>773</v>
      </c>
      <c r="C84" s="15">
        <v>250</v>
      </c>
      <c r="K84" s="42" t="s">
        <v>120</v>
      </c>
      <c r="L84" s="41" t="s">
        <v>121</v>
      </c>
      <c r="M84" s="515" t="s">
        <v>265</v>
      </c>
      <c r="N84" s="35" t="s">
        <v>146</v>
      </c>
      <c r="O84" s="35" t="s">
        <v>806</v>
      </c>
      <c r="P84" s="35" t="s">
        <v>167</v>
      </c>
      <c r="Q84" s="35" t="s">
        <v>807</v>
      </c>
      <c r="R84" s="35" t="s">
        <v>783</v>
      </c>
      <c r="S84" s="532" t="s">
        <v>170</v>
      </c>
      <c r="T84" s="40" t="s">
        <v>178</v>
      </c>
      <c r="U84" s="40" t="s">
        <v>169</v>
      </c>
      <c r="V84" s="40" t="s">
        <v>168</v>
      </c>
      <c r="W84" s="40" t="s">
        <v>175</v>
      </c>
      <c r="X84" s="41" t="s">
        <v>176</v>
      </c>
      <c r="AB84" s="80"/>
      <c r="AG84" s="80"/>
      <c r="AH84" s="17"/>
      <c r="AI84" s="17"/>
      <c r="AJ84" s="80"/>
      <c r="AK84" s="22"/>
      <c r="AM84" s="80"/>
      <c r="AN84" s="80"/>
      <c r="AO84" s="80"/>
      <c r="AP84" s="80"/>
      <c r="AQ84" s="80"/>
      <c r="AR84" s="80"/>
      <c r="AS84" s="17"/>
      <c r="AT84" s="17"/>
      <c r="AU84" s="80"/>
      <c r="AV84" s="22"/>
      <c r="AX84" s="80"/>
      <c r="AY84" s="80"/>
      <c r="AZ84" s="80"/>
      <c r="BA84" s="80"/>
      <c r="BB84" s="80"/>
      <c r="BC84" s="80"/>
      <c r="BD84" s="17"/>
      <c r="BP84" s="29" t="s">
        <v>179</v>
      </c>
      <c r="BQ84" s="30">
        <v>1</v>
      </c>
      <c r="BR84" s="110"/>
      <c r="BS84" s="34" t="s">
        <v>163</v>
      </c>
      <c r="BT84" s="31">
        <f ca="1">P_sat_i_VN_C1*VLOOKUP(1,φi[],2,FALSE)</f>
        <v>1519.0182434715223</v>
      </c>
      <c r="BU84" s="32"/>
      <c r="BV84" s="32"/>
      <c r="BW84" s="32"/>
      <c r="BX84" s="32"/>
      <c r="BY84" s="32"/>
      <c r="BZ84" s="32"/>
      <c r="CA84" s="34" t="s">
        <v>267</v>
      </c>
      <c r="CB84" s="30">
        <f>VLOOKUP(1,φi[],2,FALSE)</f>
        <v>0.65</v>
      </c>
      <c r="CC84" s="110"/>
      <c r="CD84" s="34" t="s">
        <v>164</v>
      </c>
      <c r="CE84" s="31">
        <f ca="1">P_sat_i_VN_C1*VLOOKUP(2,φi[],2,FALSE)</f>
        <v>1752.7133578517564</v>
      </c>
      <c r="CF84" s="34"/>
      <c r="CG84" s="34"/>
      <c r="CH84" s="32"/>
      <c r="CI84" s="32"/>
      <c r="CJ84" s="32"/>
      <c r="CK84" s="32"/>
      <c r="CL84" s="34" t="s">
        <v>268</v>
      </c>
      <c r="CM84" s="30">
        <f>VLOOKUP(2,φi[],2,FALSE)</f>
        <v>0.75</v>
      </c>
      <c r="CN84" s="110"/>
      <c r="CO84" s="34" t="s">
        <v>165</v>
      </c>
      <c r="CP84" s="31">
        <f ca="1">P_sat_i_VN_C1*VLOOKUP(3,φi[],2,FALSE)</f>
        <v>1869.5609150418736</v>
      </c>
      <c r="CQ84" s="32"/>
      <c r="CR84" s="34"/>
      <c r="CS84" s="34"/>
      <c r="CT84" s="34"/>
      <c r="CU84" s="34"/>
      <c r="CV84" s="34"/>
      <c r="CW84" s="34" t="s">
        <v>269</v>
      </c>
      <c r="CX84" s="116">
        <f>VLOOKUP(3,φi[],2,FALSE)</f>
        <v>0.8</v>
      </c>
      <c r="CY84" s="110"/>
      <c r="CZ84" s="34" t="s">
        <v>166</v>
      </c>
      <c r="DA84" s="31">
        <f ca="1">P_sat_i_VN_C1*Seccion1!φi_C1</f>
        <v>747.82436601674965</v>
      </c>
      <c r="DB84" s="32"/>
      <c r="DC84" s="34"/>
      <c r="DD84" s="34"/>
      <c r="DE84" s="34"/>
      <c r="DF84" s="34"/>
      <c r="DG84" s="34"/>
      <c r="DH84" s="34" t="s">
        <v>154</v>
      </c>
      <c r="DI84" s="30"/>
    </row>
    <row r="85" spans="2:113" x14ac:dyDescent="0.25">
      <c r="B85" s="15" t="s">
        <v>772</v>
      </c>
      <c r="C85" s="15">
        <v>0.5</v>
      </c>
      <c r="J85" s="517"/>
      <c r="K85" s="46">
        <v>1</v>
      </c>
      <c r="L85" s="47">
        <v>656.38386083460807</v>
      </c>
      <c r="M85" s="54"/>
      <c r="N85" s="44" t="s">
        <v>107</v>
      </c>
      <c r="O85" s="44" t="e">
        <v>#N/A</v>
      </c>
      <c r="P85" s="44" t="e">
        <v>#N/A</v>
      </c>
      <c r="Q85" s="44"/>
      <c r="R85" s="44"/>
      <c r="S85" s="533"/>
      <c r="T85" s="44"/>
      <c r="U85" s="44"/>
      <c r="V85" s="44"/>
      <c r="W85" s="44"/>
      <c r="X85" s="531"/>
      <c r="AB85" s="35"/>
      <c r="AC85" s="35"/>
      <c r="AD85" s="35"/>
      <c r="AE85" s="35"/>
      <c r="AF85" s="35"/>
      <c r="AG85" s="35"/>
      <c r="AH85" s="35"/>
      <c r="AI85" s="511"/>
      <c r="AJ85" s="35"/>
      <c r="AK85" s="35"/>
      <c r="AL85" s="35"/>
      <c r="AM85" s="35"/>
      <c r="AN85" s="35"/>
      <c r="AO85" s="35"/>
      <c r="AP85" s="35"/>
      <c r="AQ85" s="35"/>
      <c r="AR85" s="35"/>
      <c r="AS85" s="35"/>
      <c r="AT85" s="511"/>
      <c r="AU85" s="35"/>
      <c r="AV85" s="35"/>
      <c r="AW85" s="35"/>
      <c r="AX85" s="35"/>
      <c r="AY85" s="35"/>
      <c r="AZ85" s="35"/>
      <c r="BA85" s="35"/>
      <c r="BB85" s="35"/>
      <c r="BC85" s="35"/>
      <c r="BD85" s="35"/>
      <c r="BP85" s="42" t="s">
        <v>120</v>
      </c>
      <c r="BQ85" s="41" t="s">
        <v>121</v>
      </c>
      <c r="BR85" s="42" t="s">
        <v>265</v>
      </c>
      <c r="BS85" s="40" t="s">
        <v>146</v>
      </c>
      <c r="BT85" s="40" t="s">
        <v>147</v>
      </c>
      <c r="BU85" s="40" t="s">
        <v>170</v>
      </c>
      <c r="BV85" s="40" t="s">
        <v>178</v>
      </c>
      <c r="BW85" s="40" t="s">
        <v>169</v>
      </c>
      <c r="BX85" s="40" t="s">
        <v>168</v>
      </c>
      <c r="BY85" s="40" t="s">
        <v>175</v>
      </c>
      <c r="BZ85" s="40" t="s">
        <v>176</v>
      </c>
      <c r="CA85" s="40" t="s">
        <v>167</v>
      </c>
      <c r="CB85" s="41" t="s">
        <v>266</v>
      </c>
      <c r="CC85" s="42" t="s">
        <v>265</v>
      </c>
      <c r="CD85" s="40" t="s">
        <v>148</v>
      </c>
      <c r="CE85" s="40" t="s">
        <v>149</v>
      </c>
      <c r="CF85" s="40" t="s">
        <v>170</v>
      </c>
      <c r="CG85" s="40" t="s">
        <v>178</v>
      </c>
      <c r="CH85" s="40" t="s">
        <v>169</v>
      </c>
      <c r="CI85" s="40" t="s">
        <v>168</v>
      </c>
      <c r="CJ85" s="40" t="s">
        <v>175</v>
      </c>
      <c r="CK85" s="40" t="s">
        <v>176</v>
      </c>
      <c r="CL85" s="40" t="s">
        <v>171</v>
      </c>
      <c r="CM85" s="41" t="s">
        <v>266</v>
      </c>
      <c r="CN85" s="42" t="s">
        <v>265</v>
      </c>
      <c r="CO85" s="40" t="s">
        <v>150</v>
      </c>
      <c r="CP85" s="40" t="s">
        <v>151</v>
      </c>
      <c r="CQ85" s="40" t="s">
        <v>170</v>
      </c>
      <c r="CR85" s="40" t="s">
        <v>178</v>
      </c>
      <c r="CS85" s="40" t="s">
        <v>169</v>
      </c>
      <c r="CT85" s="40" t="s">
        <v>168</v>
      </c>
      <c r="CU85" s="40" t="s">
        <v>175</v>
      </c>
      <c r="CV85" s="40" t="s">
        <v>176</v>
      </c>
      <c r="CW85" s="40" t="s">
        <v>172</v>
      </c>
      <c r="CX85" s="41" t="s">
        <v>266</v>
      </c>
      <c r="CY85" s="42" t="s">
        <v>265</v>
      </c>
      <c r="CZ85" s="40" t="s">
        <v>152</v>
      </c>
      <c r="DA85" s="40" t="s">
        <v>153</v>
      </c>
      <c r="DB85" s="40" t="s">
        <v>170</v>
      </c>
      <c r="DC85" s="40" t="s">
        <v>178</v>
      </c>
      <c r="DD85" s="40" t="s">
        <v>169</v>
      </c>
      <c r="DE85" s="40" t="s">
        <v>168</v>
      </c>
      <c r="DF85" s="40" t="s">
        <v>175</v>
      </c>
      <c r="DG85" s="40" t="s">
        <v>176</v>
      </c>
      <c r="DH85" s="40" t="s">
        <v>177</v>
      </c>
      <c r="DI85" s="41" t="s">
        <v>266</v>
      </c>
    </row>
    <row r="86" spans="2:113" x14ac:dyDescent="0.25">
      <c r="B86" s="15" t="s">
        <v>622</v>
      </c>
      <c r="C86" s="15">
        <v>0.4</v>
      </c>
      <c r="J86" s="517"/>
      <c r="K86" s="53">
        <v>1.1099060014461315</v>
      </c>
      <c r="L86" s="47">
        <v>661.60804489413795</v>
      </c>
      <c r="M86" s="54">
        <v>-0.8158358236909633</v>
      </c>
      <c r="N86" s="55">
        <v>577.61779753445512</v>
      </c>
      <c r="O86" s="55">
        <v>0</v>
      </c>
      <c r="P86" s="50">
        <f t="shared" ref="P86:P98" ca="1" si="179">IF(ISNA(T86),
_xlfn.FORECAST.LINEAR($J60,INDIRECT(W86),INDIRECT(X86)),T86)</f>
        <v>577.61779753445512</v>
      </c>
      <c r="Q86" s="50"/>
      <c r="R86" s="50"/>
      <c r="S86" s="535">
        <f t="array" ref="S86">SUM(IF(ISNUMBER(T$86:T86),1,0))+IF($J86&gt;Capas_VN_C1,1,0)</f>
        <v>1</v>
      </c>
      <c r="T86" s="50">
        <f>IF(O86=1,$L86,L103)</f>
        <v>577.61779753445512</v>
      </c>
      <c r="U86" s="50">
        <f t="shared" ref="U86:U98" si="180">VLOOKUP($J87,$S$86:$T$98,2,FALSE)</f>
        <v>577.61779753445512</v>
      </c>
      <c r="V86" s="50">
        <f t="shared" ref="V86:V98" si="181">INDEX($J$60:$J$72,MATCH(U86,T$86:T$98,0))</f>
        <v>0</v>
      </c>
      <c r="W86" s="50" t="str">
        <f t="shared" ref="W86:W98" si="182">CONCATENATE(ADDRESS(ROW(U$86)-1+S86,COLUMN(U$86)),":",ADDRESS(ROW(U$86)+S86,COLUMN(U$86)))</f>
        <v>$U$86:$U$87</v>
      </c>
      <c r="X86" s="214" t="str">
        <f t="shared" ref="X86:X98" si="183">CONCATENATE(ADDRESS(ROW(V$86)-1+S86,COLUMN(V$86)),":",ADDRESS(ROW(V$86)+S86,COLUMN(V$86)))</f>
        <v>$V$86:$V$87</v>
      </c>
      <c r="AC86" s="48"/>
      <c r="AD86" s="48"/>
      <c r="AE86" s="48"/>
      <c r="AF86" s="48"/>
      <c r="AI86" s="51"/>
      <c r="AJ86" s="44"/>
      <c r="AK86" s="44"/>
      <c r="AN86" s="48"/>
      <c r="AO86" s="48"/>
      <c r="AP86" s="48"/>
      <c r="AQ86" s="48"/>
      <c r="AT86" s="51"/>
      <c r="AU86" s="44"/>
      <c r="AV86" s="44"/>
      <c r="AY86" s="48"/>
      <c r="AZ86" s="48"/>
      <c r="BA86" s="48"/>
      <c r="BB86" s="48"/>
      <c r="BP86" s="46"/>
      <c r="BQ86" s="52"/>
      <c r="BR86" s="54"/>
      <c r="BS86" s="44"/>
      <c r="BT86" s="44"/>
      <c r="BW86" s="48"/>
      <c r="BX86" s="48"/>
      <c r="BY86" s="48"/>
      <c r="BZ86" s="48"/>
      <c r="CB86" s="49"/>
      <c r="CC86" s="54"/>
      <c r="CD86" s="44"/>
      <c r="CE86" s="44"/>
      <c r="CH86" s="48"/>
      <c r="CI86" s="48"/>
      <c r="CJ86" s="48"/>
      <c r="CK86" s="48"/>
      <c r="CM86" s="49"/>
      <c r="CN86" s="54"/>
      <c r="CO86" s="44"/>
      <c r="CP86" s="44"/>
      <c r="CS86" s="48"/>
      <c r="CT86" s="48"/>
      <c r="CU86" s="48"/>
      <c r="CV86" s="48"/>
      <c r="CY86" s="54"/>
      <c r="CZ86" s="44"/>
      <c r="DA86" s="44"/>
      <c r="DD86" s="48"/>
      <c r="DE86" s="48"/>
      <c r="DF86" s="48"/>
      <c r="DG86" s="48"/>
      <c r="DI86" s="49"/>
    </row>
    <row r="87" spans="2:113" x14ac:dyDescent="0.25">
      <c r="J87" s="15">
        <v>1</v>
      </c>
      <c r="K87" s="53">
        <v>1.2472885032537961</v>
      </c>
      <c r="L87" s="47">
        <v>668.18992079784653</v>
      </c>
      <c r="M87" s="54">
        <v>8.2203812084535599</v>
      </c>
      <c r="N87" s="55">
        <v>1086.9171861077666</v>
      </c>
      <c r="O87" s="55">
        <f t="array" ref="O87:O98">IF((N87:N98&gt;=L87:L98),1,0)</f>
        <v>1</v>
      </c>
      <c r="P87" s="50">
        <f t="shared" ca="1" si="179"/>
        <v>668.18992079784653</v>
      </c>
      <c r="Q87" s="534">
        <f ca="1">IF(O87&gt;0,δ_0*(SLOPE(INDIRECT(VLOOKUP(S87,$S$86:$X$98,5,FALSE)),INDIRECT(VLOOKUP(S87,$S$86:$X$98,6,FALSE)))-SLOPE(INDIRECT(VLOOKUP(S87-1,$S$86:$X$98,5,FALSE)),INDIRECT(VLOOKUP(S87-1,$S$86:$X$98,6,FALSE)))),0)*86400*VLOOKUP($L$83,Aux!$AL$72:$AN$83,3,FALSE)</f>
        <v>2.6358432753670693E-4</v>
      </c>
      <c r="R87" s="534">
        <f ca="1">IFERROR(IF(Q87&lt;0,0,Q87),0)</f>
        <v>2.6358432753670693E-4</v>
      </c>
      <c r="S87" s="535">
        <f t="array" ref="S87">SUM(IF(ISNUMBER(T$86:T87),1,0))+IF($A87&gt;Capas_VN_C1,1,0)</f>
        <v>2</v>
      </c>
      <c r="T87" s="50">
        <f t="shared" ref="T87:T98" si="184">IF(O87=1,$L87,IF(J87=Capas_VN_C1,$N$103,NA()))</f>
        <v>668.18992079784653</v>
      </c>
      <c r="U87" s="50">
        <f t="shared" si="180"/>
        <v>668.18992079784653</v>
      </c>
      <c r="V87" s="50">
        <f t="shared" si="181"/>
        <v>5000</v>
      </c>
      <c r="W87" s="50" t="str">
        <f t="shared" si="182"/>
        <v>$U$87:$U$88</v>
      </c>
      <c r="X87" s="214" t="str">
        <f t="shared" si="183"/>
        <v>$V$87:$V$88</v>
      </c>
      <c r="AB87" s="51"/>
      <c r="AC87" s="51"/>
      <c r="AD87" s="51"/>
      <c r="AE87" s="48"/>
      <c r="AF87" s="48"/>
      <c r="AG87" s="50"/>
      <c r="AH87" s="50"/>
      <c r="AI87" s="51"/>
      <c r="AJ87" s="50"/>
      <c r="AK87" s="55"/>
      <c r="AL87" s="55"/>
      <c r="AM87" s="51"/>
      <c r="AN87" s="51"/>
      <c r="AO87" s="51"/>
      <c r="AP87" s="48"/>
      <c r="AQ87" s="48"/>
      <c r="AR87" s="50"/>
      <c r="AS87" s="50"/>
      <c r="AT87" s="51"/>
      <c r="AU87" s="50"/>
      <c r="AV87" s="55"/>
      <c r="AW87" s="55"/>
      <c r="AX87" s="50"/>
      <c r="AY87" s="51"/>
      <c r="AZ87" s="51"/>
      <c r="BA87" s="48"/>
      <c r="BB87" s="48"/>
      <c r="BC87" s="50"/>
      <c r="BD87" s="50"/>
      <c r="BP87" s="53"/>
      <c r="BQ87" s="52"/>
      <c r="BR87" s="54"/>
      <c r="BS87" s="50"/>
      <c r="BT87" s="55"/>
      <c r="BU87" s="55"/>
      <c r="BV87" s="51"/>
      <c r="BW87" s="51"/>
      <c r="BX87" s="51"/>
      <c r="BY87" s="48"/>
      <c r="BZ87" s="48"/>
      <c r="CA87" s="50"/>
      <c r="CB87" s="52"/>
      <c r="CC87" s="54"/>
      <c r="CD87" s="50"/>
      <c r="CE87" s="55"/>
      <c r="CF87" s="55"/>
      <c r="CG87" s="51"/>
      <c r="CH87" s="51"/>
      <c r="CI87" s="51"/>
      <c r="CJ87" s="48"/>
      <c r="CK87" s="48"/>
      <c r="CL87" s="50"/>
      <c r="CM87" s="52"/>
      <c r="CN87" s="54"/>
      <c r="CO87" s="50"/>
      <c r="CP87" s="55"/>
      <c r="CQ87" s="55"/>
      <c r="CR87" s="51"/>
      <c r="CS87" s="51"/>
      <c r="CT87" s="51"/>
      <c r="CU87" s="48"/>
      <c r="CV87" s="48"/>
      <c r="CW87" s="50"/>
      <c r="CX87" s="50"/>
      <c r="CY87" s="54"/>
      <c r="CZ87" s="50"/>
      <c r="DA87" s="55"/>
      <c r="DB87" s="55"/>
      <c r="DC87" s="50"/>
      <c r="DD87" s="51"/>
      <c r="DE87" s="51"/>
      <c r="DF87" s="48"/>
      <c r="DG87" s="48"/>
      <c r="DH87" s="50"/>
      <c r="DI87" s="52"/>
    </row>
    <row r="88" spans="2:113" x14ac:dyDescent="0.25">
      <c r="B88" s="98"/>
      <c r="C88" s="503" t="s">
        <v>749</v>
      </c>
      <c r="D88" s="503" t="s">
        <v>748</v>
      </c>
      <c r="E88" s="503" t="s">
        <v>747</v>
      </c>
      <c r="F88" s="503" t="s">
        <v>746</v>
      </c>
      <c r="G88" s="503" t="s">
        <v>803</v>
      </c>
      <c r="H88" s="503"/>
      <c r="I88" s="503"/>
      <c r="J88" s="15">
        <v>2</v>
      </c>
      <c r="K88" s="53">
        <v>9.4902386117136643</v>
      </c>
      <c r="L88" s="47">
        <v>1186.0124649896652</v>
      </c>
      <c r="M88" s="54">
        <v>8.2410930958149571</v>
      </c>
      <c r="N88" s="55">
        <v>1088.4450842734864</v>
      </c>
      <c r="O88" s="55">
        <v>0</v>
      </c>
      <c r="P88" s="50">
        <f t="shared" ca="1" si="179"/>
        <v>675.84247071201162</v>
      </c>
      <c r="Q88" s="534">
        <f ca="1">IF(O88&gt;0,δ_0*(SLOPE(INDIRECT(VLOOKUP(S88,$S$86:$X$98,5,FALSE)),INDIRECT(VLOOKUP(S88,$S$86:$X$98,6,FALSE)))-SLOPE(INDIRECT(VLOOKUP(S88-1,$S$86:$X$98,5,FALSE)),INDIRECT(VLOOKUP(S88-1,$S$86:$X$98,6,FALSE)))),0)*86400*VLOOKUP($L$83,Aux!$AL$72:$AN$83,3,FALSE)</f>
        <v>0</v>
      </c>
      <c r="R88" s="534">
        <f t="shared" ref="R88:R98" ca="1" si="185">IFERROR(IF(Q88&lt;0,0,Q88),0)</f>
        <v>0</v>
      </c>
      <c r="S88" s="535">
        <f t="array" ref="S88">SUM(IF(ISNUMBER(T$86:T88),1,0))+IF($A88&gt;Capas_VN_C1,1,0)</f>
        <v>2</v>
      </c>
      <c r="T88" s="50" t="e">
        <f t="shared" si="184"/>
        <v>#N/A</v>
      </c>
      <c r="U88" s="50">
        <f t="shared" si="180"/>
        <v>1186.0124649896652</v>
      </c>
      <c r="V88" s="50">
        <f t="shared" si="181"/>
        <v>6015</v>
      </c>
      <c r="W88" s="50" t="str">
        <f t="shared" si="182"/>
        <v>$U$87:$U$88</v>
      </c>
      <c r="X88" s="214" t="str">
        <f t="shared" si="183"/>
        <v>$V$87:$V$88</v>
      </c>
      <c r="AB88" s="51"/>
      <c r="AC88" s="51"/>
      <c r="AD88" s="51"/>
      <c r="AE88" s="48"/>
      <c r="AF88" s="48"/>
      <c r="AG88" s="50"/>
      <c r="AH88" s="50"/>
      <c r="AI88" s="51"/>
      <c r="AJ88" s="50"/>
      <c r="AK88" s="55"/>
      <c r="AL88" s="55"/>
      <c r="AM88" s="51"/>
      <c r="AN88" s="51"/>
      <c r="AO88" s="51"/>
      <c r="AP88" s="48"/>
      <c r="AQ88" s="48"/>
      <c r="AR88" s="50"/>
      <c r="AS88" s="50"/>
      <c r="AT88" s="51"/>
      <c r="AU88" s="50"/>
      <c r="AV88" s="55"/>
      <c r="AW88" s="55"/>
      <c r="AX88" s="50"/>
      <c r="AY88" s="51"/>
      <c r="AZ88" s="51"/>
      <c r="BA88" s="48"/>
      <c r="BB88" s="48"/>
      <c r="BC88" s="50"/>
      <c r="BD88" s="50"/>
      <c r="BP88" s="53"/>
      <c r="BQ88" s="52"/>
      <c r="BR88" s="54"/>
      <c r="BS88" s="50"/>
      <c r="BT88" s="55"/>
      <c r="BU88" s="55"/>
      <c r="BV88" s="51"/>
      <c r="BW88" s="51"/>
      <c r="BX88" s="51"/>
      <c r="BY88" s="48"/>
      <c r="BZ88" s="48"/>
      <c r="CA88" s="50"/>
      <c r="CB88" s="52"/>
      <c r="CC88" s="54"/>
      <c r="CD88" s="50"/>
      <c r="CE88" s="55"/>
      <c r="CF88" s="55"/>
      <c r="CG88" s="51"/>
      <c r="CH88" s="51"/>
      <c r="CI88" s="51"/>
      <c r="CJ88" s="48"/>
      <c r="CK88" s="48"/>
      <c r="CL88" s="50"/>
      <c r="CM88" s="52"/>
      <c r="CN88" s="54"/>
      <c r="CO88" s="50"/>
      <c r="CP88" s="55"/>
      <c r="CQ88" s="55"/>
      <c r="CR88" s="51"/>
      <c r="CS88" s="51"/>
      <c r="CT88" s="51"/>
      <c r="CU88" s="48"/>
      <c r="CV88" s="48"/>
      <c r="CW88" s="50"/>
      <c r="CX88" s="50"/>
      <c r="CY88" s="54"/>
      <c r="CZ88" s="50"/>
      <c r="DA88" s="55"/>
      <c r="DB88" s="55"/>
      <c r="DC88" s="50"/>
      <c r="DD88" s="51"/>
      <c r="DE88" s="51"/>
      <c r="DF88" s="48"/>
      <c r="DG88" s="48"/>
      <c r="DH88" s="50"/>
      <c r="DI88" s="52"/>
    </row>
    <row r="89" spans="2:113" x14ac:dyDescent="0.25">
      <c r="B89" s="98" t="s">
        <v>138</v>
      </c>
      <c r="C89" s="521">
        <f ca="1">INDIRECT("L"&amp;MATCH($B89,$M$83:$M$392,0)+83+16)</f>
        <v>-1</v>
      </c>
      <c r="D89" s="523">
        <f ca="1">INDIRECT("L"&amp;MATCH($B89,$M$83:$M$392,0)+83+17)</f>
        <v>0.85</v>
      </c>
      <c r="E89" s="521">
        <f ca="1">INDIRECT("N"&amp;MATCH($B89,$M$83:$M$392,0)+83+16)</f>
        <v>20</v>
      </c>
      <c r="F89" s="523">
        <f ca="1">INDIRECT("N"&amp;MATCH($B89,$M$83:$M$392,0)+83+17)</f>
        <v>0.49</v>
      </c>
      <c r="G89" s="520">
        <f ca="1">E89-C89</f>
        <v>21</v>
      </c>
      <c r="H89" s="98"/>
      <c r="I89" s="98"/>
      <c r="J89" s="15">
        <v>3</v>
      </c>
      <c r="K89" s="53">
        <v>9.4902386117136643</v>
      </c>
      <c r="L89" s="47">
        <v>1186.0124649896652</v>
      </c>
      <c r="M89" s="54">
        <v>9.5664622267266264</v>
      </c>
      <c r="N89" s="55">
        <v>1190.3049619881488</v>
      </c>
      <c r="O89" s="55">
        <v>1</v>
      </c>
      <c r="P89" s="50">
        <f t="shared" ca="1" si="179"/>
        <v>1186.0124649896652</v>
      </c>
      <c r="Q89" s="534">
        <f ca="1">IF(O89&gt;0,δ_0*(SLOPE(INDIRECT(VLOOKUP(S89,$S$86:$X$98,5,FALSE)),INDIRECT(VLOOKUP(S89,$S$86:$X$98,6,FALSE)))-SLOPE(INDIRECT(VLOOKUP(S89-1,$S$86:$X$98,5,FALSE)),INDIRECT(VLOOKUP(S89-1,$S$86:$X$98,6,FALSE)))),0)*86400*VLOOKUP($L$83,Aux!$AL$72:$AN$83,3,FALSE)</f>
        <v>-6.6646526722761E-5</v>
      </c>
      <c r="R89" s="534">
        <f t="shared" ca="1" si="185"/>
        <v>0</v>
      </c>
      <c r="S89" s="535">
        <f t="array" ref="S89">SUM(IF(ISNUMBER(T$86:T89),1,0))+IF($A89&gt;Capas_VN_C1,1,0)</f>
        <v>3</v>
      </c>
      <c r="T89" s="50">
        <f t="shared" si="184"/>
        <v>1186.0124649896652</v>
      </c>
      <c r="U89" s="50">
        <f t="shared" si="180"/>
        <v>1191.8450833391944</v>
      </c>
      <c r="V89" s="50">
        <f t="shared" si="181"/>
        <v>6030.12</v>
      </c>
      <c r="W89" s="50" t="str">
        <f t="shared" si="182"/>
        <v>$U$88:$U$89</v>
      </c>
      <c r="X89" s="214" t="str">
        <f t="shared" si="183"/>
        <v>$V$88:$V$89</v>
      </c>
      <c r="AB89" s="51"/>
      <c r="AC89" s="51"/>
      <c r="AD89" s="51"/>
      <c r="AE89" s="48"/>
      <c r="AF89" s="48"/>
      <c r="AG89" s="50"/>
      <c r="AH89" s="50"/>
      <c r="AI89" s="51"/>
      <c r="AJ89" s="50"/>
      <c r="AK89" s="55"/>
      <c r="AL89" s="55"/>
      <c r="AM89" s="51"/>
      <c r="AN89" s="51"/>
      <c r="AO89" s="51"/>
      <c r="AP89" s="48"/>
      <c r="AQ89" s="48"/>
      <c r="AR89" s="50"/>
      <c r="AS89" s="50"/>
      <c r="AT89" s="51"/>
      <c r="AU89" s="50"/>
      <c r="AV89" s="55"/>
      <c r="AW89" s="55"/>
      <c r="AX89" s="50"/>
      <c r="AY89" s="51"/>
      <c r="AZ89" s="51"/>
      <c r="BA89" s="48"/>
      <c r="BB89" s="48"/>
      <c r="BC89" s="50"/>
      <c r="BD89" s="50"/>
      <c r="BP89" s="53"/>
      <c r="BQ89" s="52"/>
      <c r="BR89" s="54"/>
      <c r="BS89" s="50"/>
      <c r="BT89" s="55"/>
      <c r="BU89" s="55"/>
      <c r="BV89" s="51"/>
      <c r="BW89" s="51"/>
      <c r="BX89" s="51"/>
      <c r="BY89" s="48"/>
      <c r="BZ89" s="48"/>
      <c r="CA89" s="50"/>
      <c r="CB89" s="52"/>
      <c r="CC89" s="54"/>
      <c r="CD89" s="50"/>
      <c r="CE89" s="55"/>
      <c r="CF89" s="55"/>
      <c r="CG89" s="51"/>
      <c r="CH89" s="51"/>
      <c r="CI89" s="51"/>
      <c r="CJ89" s="48"/>
      <c r="CK89" s="48"/>
      <c r="CL89" s="50"/>
      <c r="CM89" s="52"/>
      <c r="CN89" s="54"/>
      <c r="CO89" s="50"/>
      <c r="CP89" s="55"/>
      <c r="CQ89" s="55"/>
      <c r="CR89" s="51"/>
      <c r="CS89" s="51"/>
      <c r="CT89" s="51"/>
      <c r="CU89" s="48"/>
      <c r="CV89" s="48"/>
      <c r="CW89" s="50"/>
      <c r="CX89" s="50"/>
      <c r="CY89" s="54"/>
      <c r="CZ89" s="50"/>
      <c r="DA89" s="55"/>
      <c r="DB89" s="55"/>
      <c r="DC89" s="50"/>
      <c r="DD89" s="51"/>
      <c r="DE89" s="51"/>
      <c r="DF89" s="48"/>
      <c r="DG89" s="48"/>
      <c r="DH89" s="50"/>
      <c r="DI89" s="52"/>
    </row>
    <row r="90" spans="2:113" x14ac:dyDescent="0.25">
      <c r="B90" s="98" t="s">
        <v>139</v>
      </c>
      <c r="C90" s="521">
        <f t="shared" ref="C90:C100" ca="1" si="186">INDIRECT("L"&amp;MATCH($B90,$M$83:$M$392,0)+83+16)</f>
        <v>0</v>
      </c>
      <c r="D90" s="523">
        <f t="shared" ref="D90:D100" ca="1" si="187">INDIRECT("L"&amp;MATCH($B90,$M$83:$M$392,0)+83+17)</f>
        <v>0.84</v>
      </c>
      <c r="E90" s="521">
        <f t="shared" ref="E90:E100" ca="1" si="188">INDIRECT("N"&amp;MATCH($B90,$M$83:$M$392,0)+83+16)</f>
        <v>20</v>
      </c>
      <c r="F90" s="523">
        <f t="shared" ref="F90:F100" ca="1" si="189">INDIRECT("N"&amp;MATCH($B90,$M$83:$M$392,0)+83+17)</f>
        <v>0.5</v>
      </c>
      <c r="G90" s="520">
        <f t="shared" ref="G90:G100" ca="1" si="190">E90-C90</f>
        <v>20</v>
      </c>
      <c r="H90" s="98"/>
      <c r="I90" s="98"/>
      <c r="J90" s="15">
        <v>4</v>
      </c>
      <c r="K90" s="53">
        <v>19.519161243673175</v>
      </c>
      <c r="L90" s="47">
        <v>2268.2936838801875</v>
      </c>
      <c r="M90" s="54">
        <v>9.5855591381674436</v>
      </c>
      <c r="N90" s="55">
        <v>1191.8328601538688</v>
      </c>
      <c r="O90" s="55">
        <v>0</v>
      </c>
      <c r="P90" s="50">
        <f t="shared" ca="1" si="179"/>
        <v>1191.7987927173731</v>
      </c>
      <c r="Q90" s="534">
        <f ca="1">IF(O90&gt;0,δ_0*(SLOPE(INDIRECT(VLOOKUP(S90,$S$86:$X$98,5,FALSE)),INDIRECT(VLOOKUP(S90,$S$86:$X$98,6,FALSE)))-SLOPE(INDIRECT(VLOOKUP(S90-1,$S$86:$X$98,5,FALSE)),INDIRECT(VLOOKUP(S90-1,$S$86:$X$98,6,FALSE)))),0)*86400*VLOOKUP($L$83,Aux!$AL$72:$AN$83,3,FALSE)</f>
        <v>0</v>
      </c>
      <c r="R90" s="534">
        <f t="shared" ca="1" si="185"/>
        <v>0</v>
      </c>
      <c r="S90" s="535">
        <f t="array" ref="S90">SUM(IF(ISNUMBER(T$86:T90),1,0))+IF($A90&gt;Capas_VN_C1,1,0)</f>
        <v>3</v>
      </c>
      <c r="T90" s="50" t="e">
        <f t="shared" si="184"/>
        <v>#N/A</v>
      </c>
      <c r="U90" s="50" t="e">
        <f t="shared" si="180"/>
        <v>#N/A</v>
      </c>
      <c r="V90" s="50" t="e">
        <f t="shared" si="181"/>
        <v>#N/A</v>
      </c>
      <c r="W90" s="50" t="str">
        <f t="shared" si="182"/>
        <v>$U$88:$U$89</v>
      </c>
      <c r="X90" s="214" t="str">
        <f t="shared" si="183"/>
        <v>$V$88:$V$89</v>
      </c>
      <c r="AB90" s="51"/>
      <c r="AC90" s="51"/>
      <c r="AD90" s="51"/>
      <c r="AE90" s="48"/>
      <c r="AF90" s="48"/>
      <c r="AG90" s="50"/>
      <c r="AH90" s="50"/>
      <c r="AI90" s="51"/>
      <c r="AJ90" s="50"/>
      <c r="AK90" s="55"/>
      <c r="AL90" s="55"/>
      <c r="AM90" s="51"/>
      <c r="AN90" s="51"/>
      <c r="AO90" s="51"/>
      <c r="AP90" s="48"/>
      <c r="AQ90" s="48"/>
      <c r="AR90" s="50"/>
      <c r="AS90" s="50"/>
      <c r="AT90" s="51"/>
      <c r="AU90" s="50"/>
      <c r="AV90" s="55"/>
      <c r="AW90" s="55"/>
      <c r="AX90" s="50"/>
      <c r="AY90" s="51"/>
      <c r="AZ90" s="51"/>
      <c r="BA90" s="48"/>
      <c r="BB90" s="48"/>
      <c r="BC90" s="50"/>
      <c r="BD90" s="50"/>
      <c r="BP90" s="53"/>
      <c r="BQ90" s="52"/>
      <c r="BR90" s="54"/>
      <c r="BS90" s="50"/>
      <c r="BT90" s="55"/>
      <c r="BU90" s="55"/>
      <c r="BV90" s="51"/>
      <c r="BW90" s="51"/>
      <c r="BX90" s="51"/>
      <c r="BY90" s="48"/>
      <c r="BZ90" s="48"/>
      <c r="CA90" s="50"/>
      <c r="CB90" s="52"/>
      <c r="CC90" s="54"/>
      <c r="CD90" s="50"/>
      <c r="CE90" s="55"/>
      <c r="CF90" s="55"/>
      <c r="CG90" s="51"/>
      <c r="CH90" s="51"/>
      <c r="CI90" s="51"/>
      <c r="CJ90" s="48"/>
      <c r="CK90" s="48"/>
      <c r="CL90" s="50"/>
      <c r="CM90" s="52"/>
      <c r="CN90" s="54"/>
      <c r="CO90" s="50"/>
      <c r="CP90" s="55"/>
      <c r="CQ90" s="55"/>
      <c r="CR90" s="51"/>
      <c r="CS90" s="51"/>
      <c r="CT90" s="51"/>
      <c r="CU90" s="48"/>
      <c r="CV90" s="48"/>
      <c r="CW90" s="50"/>
      <c r="CX90" s="50"/>
      <c r="CY90" s="54"/>
      <c r="CZ90" s="50"/>
      <c r="DA90" s="55"/>
      <c r="DB90" s="55"/>
      <c r="DC90" s="50"/>
      <c r="DD90" s="51"/>
      <c r="DE90" s="51"/>
      <c r="DF90" s="48"/>
      <c r="DG90" s="48"/>
      <c r="DH90" s="50"/>
      <c r="DI90" s="52"/>
    </row>
    <row r="91" spans="2:113" x14ac:dyDescent="0.25">
      <c r="B91" s="98" t="s">
        <v>140</v>
      </c>
      <c r="C91" s="521">
        <f t="shared" ca="1" si="186"/>
        <v>4</v>
      </c>
      <c r="D91" s="523">
        <f t="shared" ca="1" si="187"/>
        <v>0.78</v>
      </c>
      <c r="E91" s="521">
        <f t="shared" ca="1" si="188"/>
        <v>20</v>
      </c>
      <c r="F91" s="523">
        <f t="shared" ca="1" si="189"/>
        <v>0.54</v>
      </c>
      <c r="G91" s="520">
        <f t="shared" ca="1" si="190"/>
        <v>16</v>
      </c>
      <c r="H91" s="98"/>
      <c r="I91" s="98"/>
      <c r="J91" s="15">
        <v>5</v>
      </c>
      <c r="K91" s="53">
        <v>19.725234996384671</v>
      </c>
      <c r="L91" s="47">
        <v>2297.4991879418367</v>
      </c>
      <c r="M91" s="54">
        <v>9.5857118253110318</v>
      </c>
      <c r="N91" s="55">
        <v>1191.8450833391944</v>
      </c>
      <c r="O91" s="55">
        <v>0</v>
      </c>
      <c r="P91" s="50">
        <f t="shared" ca="1" si="179"/>
        <v>1191.8450833391944</v>
      </c>
      <c r="Q91" s="534">
        <f ca="1">IF(O91&gt;0,δ_0*(SLOPE(INDIRECT(VLOOKUP(S91,$S$86:$X$98,5,FALSE)),INDIRECT(VLOOKUP(S91,$S$86:$X$98,6,FALSE)))-SLOPE(INDIRECT(VLOOKUP(S91-1,$S$86:$X$98,5,FALSE)),INDIRECT(VLOOKUP(S91-1,$S$86:$X$98,6,FALSE)))),0)*86400*VLOOKUP($L$83,Aux!$AL$72:$AN$83,3,FALSE)</f>
        <v>0</v>
      </c>
      <c r="R91" s="534">
        <f t="shared" ca="1" si="185"/>
        <v>0</v>
      </c>
      <c r="S91" s="535">
        <f t="array" ref="S91">SUM(IF(ISNUMBER(T$86:T91),1,0))+IF($A91&gt;Capas_VN_C1,1,0)</f>
        <v>4</v>
      </c>
      <c r="T91" s="50">
        <f t="shared" si="184"/>
        <v>1191.8450833391944</v>
      </c>
      <c r="U91" s="50" t="e">
        <f t="shared" si="180"/>
        <v>#N/A</v>
      </c>
      <c r="V91" s="50" t="e">
        <f t="shared" si="181"/>
        <v>#N/A</v>
      </c>
      <c r="W91" s="50" t="str">
        <f t="shared" si="182"/>
        <v>$U$89:$U$90</v>
      </c>
      <c r="X91" s="214" t="str">
        <f t="shared" si="183"/>
        <v>$V$89:$V$90</v>
      </c>
      <c r="AB91" s="51"/>
      <c r="AC91" s="51"/>
      <c r="AD91" s="51"/>
      <c r="AE91" s="48"/>
      <c r="AF91" s="48"/>
      <c r="AG91" s="50"/>
      <c r="AH91" s="50"/>
      <c r="AI91" s="51"/>
      <c r="AJ91" s="50"/>
      <c r="AK91" s="55"/>
      <c r="AL91" s="55"/>
      <c r="AM91" s="51"/>
      <c r="AN91" s="51"/>
      <c r="AO91" s="51"/>
      <c r="AP91" s="48"/>
      <c r="AQ91" s="48"/>
      <c r="AR91" s="50"/>
      <c r="AS91" s="50"/>
      <c r="AT91" s="51"/>
      <c r="AU91" s="50"/>
      <c r="AV91" s="55"/>
      <c r="AW91" s="55"/>
      <c r="AX91" s="50"/>
      <c r="AY91" s="51"/>
      <c r="AZ91" s="51"/>
      <c r="BA91" s="48"/>
      <c r="BB91" s="48"/>
      <c r="BC91" s="50"/>
      <c r="BD91" s="50"/>
      <c r="BP91" s="53"/>
      <c r="BQ91" s="52"/>
      <c r="BR91" s="54"/>
      <c r="BS91" s="50"/>
      <c r="BT91" s="55"/>
      <c r="BU91" s="55"/>
      <c r="BV91" s="51"/>
      <c r="BW91" s="51"/>
      <c r="BX91" s="51"/>
      <c r="BY91" s="48"/>
      <c r="BZ91" s="48"/>
      <c r="CA91" s="50"/>
      <c r="CB91" s="52"/>
      <c r="CC91" s="54"/>
      <c r="CD91" s="50"/>
      <c r="CE91" s="55"/>
      <c r="CF91" s="55"/>
      <c r="CG91" s="51"/>
      <c r="CH91" s="51"/>
      <c r="CI91" s="51"/>
      <c r="CJ91" s="48"/>
      <c r="CK91" s="48"/>
      <c r="CL91" s="50"/>
      <c r="CM91" s="52"/>
      <c r="CN91" s="54"/>
      <c r="CO91" s="50"/>
      <c r="CP91" s="55"/>
      <c r="CQ91" s="55"/>
      <c r="CR91" s="51"/>
      <c r="CS91" s="51"/>
      <c r="CT91" s="51"/>
      <c r="CU91" s="48"/>
      <c r="CV91" s="48"/>
      <c r="CW91" s="50"/>
      <c r="CX91" s="50"/>
      <c r="CY91" s="54"/>
      <c r="CZ91" s="50"/>
      <c r="DA91" s="55"/>
      <c r="DB91" s="55"/>
      <c r="DC91" s="50"/>
      <c r="DD91" s="51"/>
      <c r="DE91" s="51"/>
      <c r="DF91" s="48"/>
      <c r="DG91" s="48"/>
      <c r="DH91" s="50"/>
      <c r="DI91" s="52"/>
    </row>
    <row r="92" spans="2:113" x14ac:dyDescent="0.25">
      <c r="B92" s="98" t="s">
        <v>141</v>
      </c>
      <c r="C92" s="521">
        <f t="shared" ca="1" si="186"/>
        <v>9</v>
      </c>
      <c r="D92" s="523">
        <f t="shared" ca="1" si="187"/>
        <v>0.72</v>
      </c>
      <c r="E92" s="521">
        <f t="shared" ca="1" si="188"/>
        <v>20</v>
      </c>
      <c r="F92" s="523">
        <f t="shared" ca="1" si="189"/>
        <v>0.59</v>
      </c>
      <c r="G92" s="520">
        <f t="shared" ca="1" si="190"/>
        <v>11</v>
      </c>
      <c r="H92" s="98"/>
      <c r="I92" s="98"/>
      <c r="J92" s="15">
        <v>6</v>
      </c>
      <c r="K92" s="53">
        <v>20</v>
      </c>
      <c r="L92" s="47">
        <v>2336.9511438023419</v>
      </c>
      <c r="M92" s="54" t="e">
        <v>#N/A</v>
      </c>
      <c r="N92" s="55" t="e">
        <v>#N/A</v>
      </c>
      <c r="O92" s="55" t="e">
        <v>#N/A</v>
      </c>
      <c r="P92" s="50" t="e">
        <f t="shared" ca="1" si="179"/>
        <v>#N/A</v>
      </c>
      <c r="Q92" s="534" t="e">
        <f ca="1">IF(O92&gt;0,δ_0*(SLOPE(INDIRECT(VLOOKUP(S92,$S$86:$X$98,5,FALSE)),INDIRECT(VLOOKUP(S92,$S$86:$X$98,6,FALSE)))-SLOPE(INDIRECT(VLOOKUP(S92-1,$S$86:$X$98,5,FALSE)),INDIRECT(VLOOKUP(S92-1,$S$86:$X$98,6,FALSE)))),0)*86400*VLOOKUP($L$83,Aux!$AL$72:$AN$83,3,FALSE)</f>
        <v>#N/A</v>
      </c>
      <c r="R92" s="534">
        <f t="shared" ca="1" si="185"/>
        <v>0</v>
      </c>
      <c r="S92" s="535">
        <f t="array" ref="S92">SUM(IF(ISNUMBER(T$86:T92),1,0))+IF($A92&gt;Capas_VN_C1,1,0)</f>
        <v>4</v>
      </c>
      <c r="T92" s="50" t="e">
        <f t="shared" si="184"/>
        <v>#N/A</v>
      </c>
      <c r="U92" s="50" t="e">
        <f t="shared" si="180"/>
        <v>#N/A</v>
      </c>
      <c r="V92" s="50" t="e">
        <f t="shared" si="181"/>
        <v>#N/A</v>
      </c>
      <c r="W92" s="50" t="str">
        <f t="shared" si="182"/>
        <v>$U$89:$U$90</v>
      </c>
      <c r="X92" s="214" t="str">
        <f t="shared" si="183"/>
        <v>$V$89:$V$90</v>
      </c>
      <c r="AB92" s="51"/>
      <c r="AC92" s="51"/>
      <c r="AD92" s="51"/>
      <c r="AE92" s="48"/>
      <c r="AF92" s="48"/>
      <c r="AG92" s="50"/>
      <c r="AH92" s="50"/>
      <c r="AI92" s="51"/>
      <c r="AJ92" s="50"/>
      <c r="AK92" s="55"/>
      <c r="AL92" s="55"/>
      <c r="AM92" s="51"/>
      <c r="AN92" s="51"/>
      <c r="AO92" s="51"/>
      <c r="AP92" s="48"/>
      <c r="AQ92" s="48"/>
      <c r="AR92" s="50"/>
      <c r="AS92" s="50"/>
      <c r="AT92" s="51"/>
      <c r="AU92" s="50"/>
      <c r="AV92" s="55"/>
      <c r="AW92" s="55"/>
      <c r="AX92" s="50"/>
      <c r="AY92" s="51"/>
      <c r="AZ92" s="51"/>
      <c r="BA92" s="48"/>
      <c r="BB92" s="48"/>
      <c r="BC92" s="50"/>
      <c r="BD92" s="50"/>
      <c r="BP92" s="53"/>
      <c r="BQ92" s="52"/>
      <c r="BR92" s="54"/>
      <c r="BS92" s="50"/>
      <c r="BT92" s="55"/>
      <c r="BU92" s="55"/>
      <c r="BV92" s="51"/>
      <c r="BW92" s="51"/>
      <c r="BX92" s="51"/>
      <c r="BY92" s="48"/>
      <c r="BZ92" s="48"/>
      <c r="CA92" s="50"/>
      <c r="CB92" s="52"/>
      <c r="CC92" s="54"/>
      <c r="CD92" s="50"/>
      <c r="CE92" s="55"/>
      <c r="CF92" s="55"/>
      <c r="CG92" s="51"/>
      <c r="CH92" s="51"/>
      <c r="CI92" s="51"/>
      <c r="CJ92" s="48"/>
      <c r="CK92" s="48"/>
      <c r="CL92" s="50"/>
      <c r="CM92" s="52"/>
      <c r="CN92" s="54"/>
      <c r="CO92" s="50"/>
      <c r="CP92" s="55"/>
      <c r="CQ92" s="55"/>
      <c r="CR92" s="51"/>
      <c r="CS92" s="51"/>
      <c r="CT92" s="51"/>
      <c r="CU92" s="48"/>
      <c r="CV92" s="48"/>
      <c r="CW92" s="50"/>
      <c r="CX92" s="50"/>
      <c r="CY92" s="54"/>
      <c r="CZ92" s="50"/>
      <c r="DA92" s="55"/>
      <c r="DB92" s="55"/>
      <c r="DC92" s="50"/>
      <c r="DD92" s="51"/>
      <c r="DE92" s="51"/>
      <c r="DF92" s="48"/>
      <c r="DG92" s="48"/>
      <c r="DH92" s="50"/>
      <c r="DI92" s="52"/>
    </row>
    <row r="93" spans="2:113" x14ac:dyDescent="0.25">
      <c r="B93" s="98" t="s">
        <v>142</v>
      </c>
      <c r="C93" s="521">
        <f t="shared" ca="1" si="186"/>
        <v>14</v>
      </c>
      <c r="D93" s="523">
        <f t="shared" ca="1" si="187"/>
        <v>0.68</v>
      </c>
      <c r="E93" s="521">
        <f t="shared" ca="1" si="188"/>
        <v>22</v>
      </c>
      <c r="F93" s="523">
        <f t="shared" ca="1" si="189"/>
        <v>0.64</v>
      </c>
      <c r="G93" s="520">
        <f t="shared" ca="1" si="190"/>
        <v>8</v>
      </c>
      <c r="H93" s="98"/>
      <c r="I93" s="98"/>
      <c r="J93" s="15">
        <v>7</v>
      </c>
      <c r="K93" s="53" t="e">
        <v>#N/A</v>
      </c>
      <c r="L93" s="47" t="e">
        <v>#N/A</v>
      </c>
      <c r="M93" s="54" t="e">
        <v>#N/A</v>
      </c>
      <c r="N93" s="55" t="e">
        <v>#N/A</v>
      </c>
      <c r="O93" s="55" t="e">
        <v>#N/A</v>
      </c>
      <c r="P93" s="50" t="e">
        <f t="shared" ca="1" si="179"/>
        <v>#N/A</v>
      </c>
      <c r="Q93" s="534" t="e">
        <f ca="1">IF(O93&gt;0,δ_0*(SLOPE(INDIRECT(VLOOKUP(S93,$S$86:$X$98,5,FALSE)),INDIRECT(VLOOKUP(S93,$S$86:$X$98,6,FALSE)))-SLOPE(INDIRECT(VLOOKUP(S93-1,$S$86:$X$98,5,FALSE)),INDIRECT(VLOOKUP(S93-1,$S$86:$X$98,6,FALSE)))),0)*86400*VLOOKUP($L$83,Aux!$AL$72:$AN$83,3,FALSE)</f>
        <v>#N/A</v>
      </c>
      <c r="R93" s="534">
        <f t="shared" ca="1" si="185"/>
        <v>0</v>
      </c>
      <c r="S93" s="535">
        <f t="array" ref="S93">SUM(IF(ISNUMBER(T$86:T93),1,0))+IF($A93&gt;Capas_VN_C1,1,0)</f>
        <v>4</v>
      </c>
      <c r="T93" s="50" t="e">
        <f t="shared" si="184"/>
        <v>#N/A</v>
      </c>
      <c r="U93" s="50" t="e">
        <f t="shared" si="180"/>
        <v>#N/A</v>
      </c>
      <c r="V93" s="50" t="e">
        <f t="shared" si="181"/>
        <v>#N/A</v>
      </c>
      <c r="W93" s="50" t="str">
        <f t="shared" si="182"/>
        <v>$U$89:$U$90</v>
      </c>
      <c r="X93" s="214" t="str">
        <f t="shared" si="183"/>
        <v>$V$89:$V$90</v>
      </c>
      <c r="AB93" s="51"/>
      <c r="AC93" s="51"/>
      <c r="AD93" s="51"/>
      <c r="AE93" s="48"/>
      <c r="AF93" s="48"/>
      <c r="AG93" s="50"/>
      <c r="AH93" s="50"/>
      <c r="AI93" s="51"/>
      <c r="AJ93" s="50"/>
      <c r="AK93" s="55"/>
      <c r="AL93" s="55"/>
      <c r="AM93" s="51"/>
      <c r="AN93" s="51"/>
      <c r="AO93" s="51"/>
      <c r="AP93" s="48"/>
      <c r="AQ93" s="48"/>
      <c r="AR93" s="50"/>
      <c r="AS93" s="50"/>
      <c r="AT93" s="51"/>
      <c r="AU93" s="50"/>
      <c r="AV93" s="55"/>
      <c r="AW93" s="55"/>
      <c r="AX93" s="50"/>
      <c r="AY93" s="51"/>
      <c r="AZ93" s="51"/>
      <c r="BA93" s="48"/>
      <c r="BB93" s="48"/>
      <c r="BC93" s="50"/>
      <c r="BD93" s="50"/>
      <c r="BP93" s="53"/>
      <c r="BQ93" s="52"/>
      <c r="BR93" s="54"/>
      <c r="BS93" s="50"/>
      <c r="BT93" s="55"/>
      <c r="BU93" s="55"/>
      <c r="BV93" s="51"/>
      <c r="BW93" s="51"/>
      <c r="BX93" s="51"/>
      <c r="BY93" s="48"/>
      <c r="BZ93" s="48"/>
      <c r="CA93" s="50"/>
      <c r="CB93" s="52"/>
      <c r="CC93" s="54"/>
      <c r="CD93" s="50"/>
      <c r="CE93" s="55"/>
      <c r="CF93" s="55"/>
      <c r="CG93" s="51"/>
      <c r="CH93" s="51"/>
      <c r="CI93" s="51"/>
      <c r="CJ93" s="48"/>
      <c r="CK93" s="48"/>
      <c r="CL93" s="50"/>
      <c r="CM93" s="52"/>
      <c r="CN93" s="54"/>
      <c r="CO93" s="50"/>
      <c r="CP93" s="55"/>
      <c r="CQ93" s="55"/>
      <c r="CR93" s="51"/>
      <c r="CS93" s="51"/>
      <c r="CT93" s="51"/>
      <c r="CU93" s="48"/>
      <c r="CV93" s="48"/>
      <c r="CW93" s="50"/>
      <c r="CX93" s="50"/>
      <c r="CY93" s="54"/>
      <c r="CZ93" s="50"/>
      <c r="DA93" s="55"/>
      <c r="DB93" s="55"/>
      <c r="DC93" s="50"/>
      <c r="DD93" s="51"/>
      <c r="DE93" s="51"/>
      <c r="DF93" s="48"/>
      <c r="DG93" s="48"/>
      <c r="DH93" s="50"/>
      <c r="DI93" s="52"/>
    </row>
    <row r="94" spans="2:113" x14ac:dyDescent="0.25">
      <c r="B94" s="98" t="s">
        <v>143</v>
      </c>
      <c r="C94" s="521">
        <f t="shared" ca="1" si="186"/>
        <v>18</v>
      </c>
      <c r="D94" s="523">
        <f t="shared" ca="1" si="187"/>
        <v>0.69</v>
      </c>
      <c r="E94" s="521">
        <f t="shared" ca="1" si="188"/>
        <v>24</v>
      </c>
      <c r="F94" s="523">
        <f t="shared" ca="1" si="189"/>
        <v>0.68</v>
      </c>
      <c r="G94" s="520">
        <f t="shared" ca="1" si="190"/>
        <v>6</v>
      </c>
      <c r="H94" s="98"/>
      <c r="I94" s="98"/>
      <c r="J94" s="15">
        <v>8</v>
      </c>
      <c r="K94" s="53" t="e">
        <v>#N/A</v>
      </c>
      <c r="L94" s="47" t="e">
        <v>#N/A</v>
      </c>
      <c r="M94" s="54" t="e">
        <v>#N/A</v>
      </c>
      <c r="N94" s="55" t="e">
        <v>#N/A</v>
      </c>
      <c r="O94" s="55" t="e">
        <v>#N/A</v>
      </c>
      <c r="P94" s="50" t="e">
        <f t="shared" ca="1" si="179"/>
        <v>#N/A</v>
      </c>
      <c r="Q94" s="534" t="e">
        <f ca="1">IF(O94&gt;0,δ_0*(SLOPE(INDIRECT(VLOOKUP(S94,$S$86:$X$98,5,FALSE)),INDIRECT(VLOOKUP(S94,$S$86:$X$98,6,FALSE)))-SLOPE(INDIRECT(VLOOKUP(S94-1,$S$86:$X$98,5,FALSE)),INDIRECT(VLOOKUP(S94-1,$S$86:$X$98,6,FALSE)))),0)*86400*VLOOKUP($L$83,Aux!$AL$72:$AN$83,3,FALSE)</f>
        <v>#N/A</v>
      </c>
      <c r="R94" s="534">
        <f t="shared" ca="1" si="185"/>
        <v>0</v>
      </c>
      <c r="S94" s="535">
        <f t="array" ref="S94">SUM(IF(ISNUMBER(T$86:T94),1,0))+IF($A94&gt;Capas_VN_C1,1,0)</f>
        <v>4</v>
      </c>
      <c r="T94" s="50" t="e">
        <f t="shared" si="184"/>
        <v>#N/A</v>
      </c>
      <c r="U94" s="50" t="e">
        <f t="shared" si="180"/>
        <v>#N/A</v>
      </c>
      <c r="V94" s="50" t="e">
        <f t="shared" si="181"/>
        <v>#N/A</v>
      </c>
      <c r="W94" s="50" t="str">
        <f t="shared" si="182"/>
        <v>$U$89:$U$90</v>
      </c>
      <c r="X94" s="214" t="str">
        <f t="shared" si="183"/>
        <v>$V$89:$V$90</v>
      </c>
      <c r="AB94" s="51"/>
      <c r="AC94" s="51"/>
      <c r="AD94" s="51"/>
      <c r="AE94" s="48"/>
      <c r="AF94" s="48"/>
      <c r="AG94" s="50"/>
      <c r="AH94" s="50"/>
      <c r="AI94" s="51"/>
      <c r="AJ94" s="50"/>
      <c r="AK94" s="55"/>
      <c r="AL94" s="55"/>
      <c r="AM94" s="51"/>
      <c r="AN94" s="51"/>
      <c r="AO94" s="51"/>
      <c r="AP94" s="48"/>
      <c r="AQ94" s="48"/>
      <c r="AR94" s="50"/>
      <c r="AS94" s="50"/>
      <c r="AT94" s="51"/>
      <c r="AU94" s="50"/>
      <c r="AV94" s="55"/>
      <c r="AW94" s="55"/>
      <c r="AX94" s="50"/>
      <c r="AY94" s="51"/>
      <c r="AZ94" s="51"/>
      <c r="BA94" s="48"/>
      <c r="BB94" s="48"/>
      <c r="BC94" s="50"/>
      <c r="BD94" s="50"/>
      <c r="BP94" s="53"/>
      <c r="BQ94" s="52"/>
      <c r="BR94" s="54"/>
      <c r="BS94" s="50"/>
      <c r="BT94" s="55"/>
      <c r="BU94" s="55"/>
      <c r="BV94" s="51"/>
      <c r="BW94" s="51"/>
      <c r="BX94" s="51"/>
      <c r="BY94" s="48"/>
      <c r="BZ94" s="48"/>
      <c r="CA94" s="50"/>
      <c r="CB94" s="52"/>
      <c r="CC94" s="54"/>
      <c r="CD94" s="50"/>
      <c r="CE94" s="55"/>
      <c r="CF94" s="55"/>
      <c r="CG94" s="51"/>
      <c r="CH94" s="51"/>
      <c r="CI94" s="51"/>
      <c r="CJ94" s="48"/>
      <c r="CK94" s="48"/>
      <c r="CL94" s="50"/>
      <c r="CM94" s="52"/>
      <c r="CN94" s="54"/>
      <c r="CO94" s="50"/>
      <c r="CP94" s="55"/>
      <c r="CQ94" s="55"/>
      <c r="CR94" s="51"/>
      <c r="CS94" s="51"/>
      <c r="CT94" s="51"/>
      <c r="CU94" s="48"/>
      <c r="CV94" s="48"/>
      <c r="CW94" s="50"/>
      <c r="CX94" s="50"/>
      <c r="CY94" s="54"/>
      <c r="CZ94" s="50"/>
      <c r="DA94" s="55"/>
      <c r="DB94" s="55"/>
      <c r="DC94" s="50"/>
      <c r="DD94" s="51"/>
      <c r="DE94" s="51"/>
      <c r="DF94" s="48"/>
      <c r="DG94" s="48"/>
      <c r="DH94" s="50"/>
      <c r="DI94" s="52"/>
    </row>
    <row r="95" spans="2:113" x14ac:dyDescent="0.25">
      <c r="B95" s="98" t="s">
        <v>132</v>
      </c>
      <c r="C95" s="521">
        <f t="shared" ca="1" si="186"/>
        <v>19</v>
      </c>
      <c r="D95" s="523">
        <f t="shared" ca="1" si="187"/>
        <v>0.73</v>
      </c>
      <c r="E95" s="521">
        <f t="shared" ca="1" si="188"/>
        <v>24.5</v>
      </c>
      <c r="F95" s="523">
        <f t="shared" ca="1" si="189"/>
        <v>0.69</v>
      </c>
      <c r="G95" s="520">
        <f t="shared" ca="1" si="190"/>
        <v>5.5</v>
      </c>
      <c r="H95" s="98"/>
      <c r="I95" s="98"/>
      <c r="J95" s="15">
        <v>9</v>
      </c>
      <c r="K95" s="53" t="e">
        <v>#N/A</v>
      </c>
      <c r="L95" s="47" t="e">
        <v>#N/A</v>
      </c>
      <c r="M95" s="54" t="e">
        <v>#N/A</v>
      </c>
      <c r="N95" s="55" t="e">
        <v>#N/A</v>
      </c>
      <c r="O95" s="55" t="e">
        <v>#N/A</v>
      </c>
      <c r="P95" s="50" t="e">
        <f t="shared" ca="1" si="179"/>
        <v>#N/A</v>
      </c>
      <c r="Q95" s="534" t="e">
        <f ca="1">IF(O95&gt;0,δ_0*(SLOPE(INDIRECT(VLOOKUP(S95,$S$86:$X$98,5,FALSE)),INDIRECT(VLOOKUP(S95,$S$86:$X$98,6,FALSE)))-SLOPE(INDIRECT(VLOOKUP(S95-1,$S$86:$X$98,5,FALSE)),INDIRECT(VLOOKUP(S95-1,$S$86:$X$98,6,FALSE)))),0)*86400*VLOOKUP($L$83,Aux!$AL$72:$AN$83,3,FALSE)</f>
        <v>#N/A</v>
      </c>
      <c r="R95" s="534">
        <f t="shared" ca="1" si="185"/>
        <v>0</v>
      </c>
      <c r="S95" s="535">
        <f t="array" ref="S95">SUM(IF(ISNUMBER(T$86:T95),1,0))+IF($A95&gt;Capas_VN_C1,1,0)</f>
        <v>4</v>
      </c>
      <c r="T95" s="50" t="e">
        <f t="shared" si="184"/>
        <v>#N/A</v>
      </c>
      <c r="U95" s="50" t="e">
        <f t="shared" si="180"/>
        <v>#N/A</v>
      </c>
      <c r="V95" s="50" t="e">
        <f t="shared" si="181"/>
        <v>#N/A</v>
      </c>
      <c r="W95" s="50" t="str">
        <f t="shared" si="182"/>
        <v>$U$89:$U$90</v>
      </c>
      <c r="X95" s="214" t="str">
        <f t="shared" si="183"/>
        <v>$V$89:$V$90</v>
      </c>
      <c r="AB95" s="51"/>
      <c r="AC95" s="51"/>
      <c r="AD95" s="51"/>
      <c r="AE95" s="48"/>
      <c r="AF95" s="48"/>
      <c r="AG95" s="50"/>
      <c r="AH95" s="50"/>
      <c r="AI95" s="51"/>
      <c r="AJ95" s="50"/>
      <c r="AK95" s="55"/>
      <c r="AL95" s="55"/>
      <c r="AM95" s="51"/>
      <c r="AN95" s="51"/>
      <c r="AO95" s="51"/>
      <c r="AP95" s="48"/>
      <c r="AQ95" s="48"/>
      <c r="AR95" s="50"/>
      <c r="AS95" s="50"/>
      <c r="AT95" s="51"/>
      <c r="AU95" s="50"/>
      <c r="AV95" s="55"/>
      <c r="AW95" s="55"/>
      <c r="AX95" s="50"/>
      <c r="AY95" s="51"/>
      <c r="AZ95" s="51"/>
      <c r="BA95" s="48"/>
      <c r="BB95" s="48"/>
      <c r="BC95" s="50"/>
      <c r="BD95" s="50"/>
      <c r="BP95" s="53"/>
      <c r="BQ95" s="52"/>
      <c r="BR95" s="54"/>
      <c r="BS95" s="50"/>
      <c r="BT95" s="55"/>
      <c r="BU95" s="55"/>
      <c r="BV95" s="51"/>
      <c r="BW95" s="51"/>
      <c r="BX95" s="51"/>
      <c r="BY95" s="48"/>
      <c r="BZ95" s="48"/>
      <c r="CA95" s="50"/>
      <c r="CB95" s="52"/>
      <c r="CC95" s="54"/>
      <c r="CD95" s="50"/>
      <c r="CE95" s="55"/>
      <c r="CF95" s="55"/>
      <c r="CG95" s="51"/>
      <c r="CH95" s="51"/>
      <c r="CI95" s="51"/>
      <c r="CJ95" s="48"/>
      <c r="CK95" s="48"/>
      <c r="CL95" s="50"/>
      <c r="CM95" s="52"/>
      <c r="CN95" s="54"/>
      <c r="CO95" s="50"/>
      <c r="CP95" s="55"/>
      <c r="CQ95" s="55"/>
      <c r="CR95" s="51"/>
      <c r="CS95" s="51"/>
      <c r="CT95" s="51"/>
      <c r="CU95" s="48"/>
      <c r="CV95" s="48"/>
      <c r="CW95" s="50"/>
      <c r="CX95" s="50"/>
      <c r="CY95" s="54"/>
      <c r="CZ95" s="50"/>
      <c r="DA95" s="55"/>
      <c r="DB95" s="55"/>
      <c r="DC95" s="50"/>
      <c r="DD95" s="51"/>
      <c r="DE95" s="51"/>
      <c r="DF95" s="48"/>
      <c r="DG95" s="48"/>
      <c r="DH95" s="50"/>
      <c r="DI95" s="52"/>
    </row>
    <row r="96" spans="2:113" x14ac:dyDescent="0.25">
      <c r="B96" s="98" t="s">
        <v>133</v>
      </c>
      <c r="C96" s="521">
        <f t="shared" ca="1" si="186"/>
        <v>19</v>
      </c>
      <c r="D96" s="523">
        <f t="shared" ca="1" si="187"/>
        <v>0.75</v>
      </c>
      <c r="E96" s="521">
        <f t="shared" ca="1" si="188"/>
        <v>24.5</v>
      </c>
      <c r="F96" s="523">
        <f t="shared" ca="1" si="189"/>
        <v>0.69</v>
      </c>
      <c r="G96" s="520">
        <f t="shared" ca="1" si="190"/>
        <v>5.5</v>
      </c>
      <c r="H96" s="98"/>
      <c r="I96" s="98"/>
      <c r="J96" s="15">
        <v>10</v>
      </c>
      <c r="K96" s="53" t="e">
        <v>#N/A</v>
      </c>
      <c r="L96" s="47" t="e">
        <v>#N/A</v>
      </c>
      <c r="M96" s="54" t="e">
        <v>#N/A</v>
      </c>
      <c r="N96" s="55" t="e">
        <v>#N/A</v>
      </c>
      <c r="O96" s="55" t="e">
        <v>#N/A</v>
      </c>
      <c r="P96" s="50" t="e">
        <f t="shared" ca="1" si="179"/>
        <v>#N/A</v>
      </c>
      <c r="Q96" s="534" t="e">
        <f ca="1">IF(O96&gt;0,δ_0*(SLOPE(INDIRECT(VLOOKUP(S96,$S$86:$X$98,5,FALSE)),INDIRECT(VLOOKUP(S96,$S$86:$X$98,6,FALSE)))-SLOPE(INDIRECT(VLOOKUP(S96-1,$S$86:$X$98,5,FALSE)),INDIRECT(VLOOKUP(S96-1,$S$86:$X$98,6,FALSE)))),0)*86400*VLOOKUP($L$83,Aux!$AL$72:$AN$83,3,FALSE)</f>
        <v>#N/A</v>
      </c>
      <c r="R96" s="534">
        <f t="shared" ca="1" si="185"/>
        <v>0</v>
      </c>
      <c r="S96" s="535">
        <f t="array" ref="S96">SUM(IF(ISNUMBER(T$86:T96),1,0))+IF($A96&gt;Capas_VN_C1,1,0)</f>
        <v>4</v>
      </c>
      <c r="T96" s="50" t="e">
        <f t="shared" si="184"/>
        <v>#N/A</v>
      </c>
      <c r="U96" s="50" t="e">
        <f t="shared" si="180"/>
        <v>#N/A</v>
      </c>
      <c r="V96" s="50" t="e">
        <f t="shared" si="181"/>
        <v>#N/A</v>
      </c>
      <c r="W96" s="50" t="str">
        <f t="shared" si="182"/>
        <v>$U$89:$U$90</v>
      </c>
      <c r="X96" s="214" t="str">
        <f t="shared" si="183"/>
        <v>$V$89:$V$90</v>
      </c>
      <c r="AB96" s="51"/>
      <c r="AC96" s="51"/>
      <c r="AD96" s="51"/>
      <c r="AE96" s="48"/>
      <c r="AF96" s="48"/>
      <c r="AG96" s="50"/>
      <c r="AH96" s="50"/>
      <c r="AI96" s="51"/>
      <c r="AJ96" s="50"/>
      <c r="AK96" s="55"/>
      <c r="AL96" s="55"/>
      <c r="AM96" s="51"/>
      <c r="AN96" s="51"/>
      <c r="AO96" s="51"/>
      <c r="AP96" s="48"/>
      <c r="AQ96" s="48"/>
      <c r="AR96" s="50"/>
      <c r="AS96" s="50"/>
      <c r="AT96" s="51"/>
      <c r="AU96" s="50"/>
      <c r="AV96" s="55"/>
      <c r="AW96" s="55"/>
      <c r="AX96" s="50"/>
      <c r="AY96" s="51"/>
      <c r="AZ96" s="51"/>
      <c r="BA96" s="48"/>
      <c r="BB96" s="48"/>
      <c r="BC96" s="50"/>
      <c r="BD96" s="50"/>
      <c r="BP96" s="53"/>
      <c r="BQ96" s="52"/>
      <c r="BR96" s="54"/>
      <c r="BS96" s="50"/>
      <c r="BT96" s="55"/>
      <c r="BU96" s="55"/>
      <c r="BV96" s="51"/>
      <c r="BW96" s="51"/>
      <c r="BX96" s="51"/>
      <c r="BY96" s="48"/>
      <c r="BZ96" s="48"/>
      <c r="CA96" s="50"/>
      <c r="CB96" s="52"/>
      <c r="CC96" s="54"/>
      <c r="CD96" s="50"/>
      <c r="CE96" s="55"/>
      <c r="CF96" s="55"/>
      <c r="CG96" s="51"/>
      <c r="CH96" s="51"/>
      <c r="CI96" s="51"/>
      <c r="CJ96" s="48"/>
      <c r="CK96" s="48"/>
      <c r="CL96" s="50"/>
      <c r="CM96" s="52"/>
      <c r="CN96" s="54"/>
      <c r="CO96" s="50"/>
      <c r="CP96" s="55"/>
      <c r="CQ96" s="55"/>
      <c r="CR96" s="51"/>
      <c r="CS96" s="51"/>
      <c r="CT96" s="51"/>
      <c r="CU96" s="48"/>
      <c r="CV96" s="48"/>
      <c r="CW96" s="50"/>
      <c r="CX96" s="50"/>
      <c r="CY96" s="54"/>
      <c r="CZ96" s="50"/>
      <c r="DA96" s="55"/>
      <c r="DB96" s="55"/>
      <c r="DC96" s="50"/>
      <c r="DD96" s="51"/>
      <c r="DE96" s="51"/>
      <c r="DF96" s="48"/>
      <c r="DG96" s="48"/>
      <c r="DH96" s="50"/>
      <c r="DI96" s="52"/>
    </row>
    <row r="97" spans="1:113" x14ac:dyDescent="0.25">
      <c r="B97" s="98" t="s">
        <v>134</v>
      </c>
      <c r="C97" s="521">
        <f t="shared" ca="1" si="186"/>
        <v>15</v>
      </c>
      <c r="D97" s="523">
        <f t="shared" ca="1" si="187"/>
        <v>0.79</v>
      </c>
      <c r="E97" s="521">
        <f t="shared" ca="1" si="188"/>
        <v>22.5</v>
      </c>
      <c r="F97" s="523">
        <f t="shared" ca="1" si="189"/>
        <v>0.65</v>
      </c>
      <c r="G97" s="520">
        <f t="shared" ca="1" si="190"/>
        <v>7.5</v>
      </c>
      <c r="H97" s="98"/>
      <c r="I97" s="98"/>
      <c r="J97" s="15">
        <v>11</v>
      </c>
      <c r="K97" s="53" t="e">
        <v>#N/A</v>
      </c>
      <c r="L97" s="47" t="e">
        <v>#N/A</v>
      </c>
      <c r="M97" s="54" t="e">
        <v>#N/A</v>
      </c>
      <c r="N97" s="55" t="e">
        <v>#N/A</v>
      </c>
      <c r="O97" s="55" t="e">
        <v>#N/A</v>
      </c>
      <c r="P97" s="50" t="e">
        <f t="shared" ca="1" si="179"/>
        <v>#N/A</v>
      </c>
      <c r="Q97" s="534" t="e">
        <f ca="1">IF(O97&gt;0,δ_0*(SLOPE(INDIRECT(VLOOKUP(S97,$S$86:$X$98,5,FALSE)),INDIRECT(VLOOKUP(S97,$S$86:$X$98,6,FALSE)))-SLOPE(INDIRECT(VLOOKUP(S97-1,$S$86:$X$98,5,FALSE)),INDIRECT(VLOOKUP(S97-1,$S$86:$X$98,6,FALSE)))),0)*86400*VLOOKUP($L$83,Aux!$AL$72:$AN$83,3,FALSE)</f>
        <v>#N/A</v>
      </c>
      <c r="R97" s="534">
        <f t="shared" ca="1" si="185"/>
        <v>0</v>
      </c>
      <c r="S97" s="535">
        <f t="array" ref="S97">SUM(IF(ISNUMBER(T$86:T97),1,0))+IF($A97&gt;Capas_VN_C1,1,0)</f>
        <v>4</v>
      </c>
      <c r="T97" s="50" t="e">
        <f t="shared" si="184"/>
        <v>#N/A</v>
      </c>
      <c r="U97" s="50" t="e">
        <f t="shared" si="180"/>
        <v>#N/A</v>
      </c>
      <c r="V97" s="50" t="e">
        <f t="shared" si="181"/>
        <v>#N/A</v>
      </c>
      <c r="W97" s="50" t="str">
        <f t="shared" si="182"/>
        <v>$U$89:$U$90</v>
      </c>
      <c r="X97" s="214" t="str">
        <f t="shared" si="183"/>
        <v>$V$89:$V$90</v>
      </c>
      <c r="AB97" s="51"/>
      <c r="AC97" s="51"/>
      <c r="AD97" s="51"/>
      <c r="AE97" s="48"/>
      <c r="AF97" s="48"/>
      <c r="AG97" s="50"/>
      <c r="AH97" s="50"/>
      <c r="AI97" s="51"/>
      <c r="AJ97" s="50"/>
      <c r="AK97" s="55"/>
      <c r="AL97" s="55"/>
      <c r="AM97" s="51"/>
      <c r="AN97" s="51"/>
      <c r="AO97" s="51"/>
      <c r="AP97" s="48"/>
      <c r="AQ97" s="48"/>
      <c r="AR97" s="50"/>
      <c r="AS97" s="50"/>
      <c r="AT97" s="51"/>
      <c r="AU97" s="50"/>
      <c r="AV97" s="55"/>
      <c r="AW97" s="55"/>
      <c r="AX97" s="50"/>
      <c r="AY97" s="51"/>
      <c r="AZ97" s="51"/>
      <c r="BA97" s="48"/>
      <c r="BB97" s="48"/>
      <c r="BC97" s="50"/>
      <c r="BD97" s="50"/>
      <c r="BP97" s="53"/>
      <c r="BQ97" s="52"/>
      <c r="BR97" s="54"/>
      <c r="BS97" s="50"/>
      <c r="BT97" s="55"/>
      <c r="BU97" s="55"/>
      <c r="BV97" s="51"/>
      <c r="BW97" s="51"/>
      <c r="BX97" s="51"/>
      <c r="BY97" s="48"/>
      <c r="BZ97" s="48"/>
      <c r="CA97" s="50"/>
      <c r="CB97" s="52"/>
      <c r="CC97" s="54"/>
      <c r="CD97" s="50"/>
      <c r="CE97" s="55"/>
      <c r="CF97" s="55"/>
      <c r="CG97" s="51"/>
      <c r="CH97" s="51"/>
      <c r="CI97" s="51"/>
      <c r="CJ97" s="48"/>
      <c r="CK97" s="48"/>
      <c r="CL97" s="50"/>
      <c r="CM97" s="52"/>
      <c r="CN97" s="54"/>
      <c r="CO97" s="50"/>
      <c r="CP97" s="55"/>
      <c r="CQ97" s="55"/>
      <c r="CR97" s="51"/>
      <c r="CS97" s="51"/>
      <c r="CT97" s="51"/>
      <c r="CU97" s="48"/>
      <c r="CV97" s="48"/>
      <c r="CW97" s="50"/>
      <c r="CX97" s="50"/>
      <c r="CY97" s="54"/>
      <c r="CZ97" s="50"/>
      <c r="DA97" s="55"/>
      <c r="DB97" s="55"/>
      <c r="DC97" s="50"/>
      <c r="DD97" s="51"/>
      <c r="DE97" s="51"/>
      <c r="DF97" s="48"/>
      <c r="DG97" s="48"/>
      <c r="DH97" s="50"/>
      <c r="DI97" s="52"/>
    </row>
    <row r="98" spans="1:113" x14ac:dyDescent="0.25">
      <c r="B98" s="98" t="s">
        <v>135</v>
      </c>
      <c r="C98" s="521">
        <f t="shared" ca="1" si="186"/>
        <v>10</v>
      </c>
      <c r="D98" s="523">
        <f t="shared" ca="1" si="187"/>
        <v>0.83</v>
      </c>
      <c r="E98" s="521">
        <f t="shared" ca="1" si="188"/>
        <v>20</v>
      </c>
      <c r="F98" s="523">
        <f t="shared" ca="1" si="189"/>
        <v>0.6</v>
      </c>
      <c r="G98" s="520">
        <f t="shared" ca="1" si="190"/>
        <v>10</v>
      </c>
      <c r="H98" s="98"/>
      <c r="I98" s="98"/>
      <c r="J98" s="517">
        <v>12</v>
      </c>
      <c r="K98" s="53" t="e">
        <v>#N/A</v>
      </c>
      <c r="L98" s="47" t="e">
        <v>#N/A</v>
      </c>
      <c r="M98" s="54" t="e">
        <v>#N/A</v>
      </c>
      <c r="N98" s="55" t="e">
        <v>#N/A</v>
      </c>
      <c r="O98" s="55" t="e">
        <v>#N/A</v>
      </c>
      <c r="P98" s="50" t="e">
        <f t="shared" ca="1" si="179"/>
        <v>#N/A</v>
      </c>
      <c r="Q98" s="534" t="e">
        <f ca="1">IF(O98&gt;0,δ_0*(SLOPE(INDIRECT(VLOOKUP(S98,$S$86:$X$98,5,FALSE)),INDIRECT(VLOOKUP(S98,$S$86:$X$98,6,FALSE)))-SLOPE(INDIRECT(VLOOKUP(S98-1,$S$86:$X$98,5,FALSE)),INDIRECT(VLOOKUP(S98-1,$S$86:$X$98,6,FALSE)))),0)*86400*VLOOKUP($L$83,Aux!$AL$72:$AN$83,3,FALSE)</f>
        <v>#N/A</v>
      </c>
      <c r="R98" s="534">
        <f t="shared" ca="1" si="185"/>
        <v>0</v>
      </c>
      <c r="S98" s="535">
        <f t="array" ref="S98">SUM(IF(ISNUMBER(T$86:T98),1,0))+IF($A98&gt;Capas_VN_C1,1,0)</f>
        <v>4</v>
      </c>
      <c r="T98" s="50" t="e">
        <f t="shared" si="184"/>
        <v>#N/A</v>
      </c>
      <c r="U98" s="50" t="e">
        <f t="shared" si="180"/>
        <v>#N/A</v>
      </c>
      <c r="V98" s="50" t="e">
        <f t="shared" si="181"/>
        <v>#N/A</v>
      </c>
      <c r="W98" s="50" t="str">
        <f t="shared" si="182"/>
        <v>$U$89:$U$90</v>
      </c>
      <c r="X98" s="214" t="str">
        <f t="shared" si="183"/>
        <v>$V$89:$V$90</v>
      </c>
      <c r="AB98" s="51"/>
      <c r="AC98" s="51"/>
      <c r="AD98" s="51"/>
      <c r="AE98" s="48"/>
      <c r="AF98" s="48"/>
      <c r="AG98" s="50"/>
      <c r="AH98" s="50"/>
      <c r="AI98" s="51"/>
      <c r="AJ98" s="50"/>
      <c r="AK98" s="55"/>
      <c r="AL98" s="55"/>
      <c r="AM98" s="51"/>
      <c r="AN98" s="51"/>
      <c r="AO98" s="51"/>
      <c r="AP98" s="48"/>
      <c r="AQ98" s="48"/>
      <c r="AR98" s="50"/>
      <c r="AS98" s="50"/>
      <c r="AT98" s="51"/>
      <c r="AU98" s="50"/>
      <c r="AV98" s="55"/>
      <c r="AW98" s="55"/>
      <c r="AX98" s="50"/>
      <c r="AY98" s="51"/>
      <c r="AZ98" s="51"/>
      <c r="BA98" s="48"/>
      <c r="BB98" s="48"/>
      <c r="BC98" s="50"/>
      <c r="BD98" s="50"/>
      <c r="BP98" s="53"/>
      <c r="BQ98" s="52"/>
      <c r="BR98" s="54"/>
      <c r="BS98" s="50"/>
      <c r="BT98" s="55"/>
      <c r="BU98" s="55"/>
      <c r="BV98" s="51"/>
      <c r="BW98" s="51"/>
      <c r="BX98" s="51"/>
      <c r="BY98" s="48"/>
      <c r="BZ98" s="48"/>
      <c r="CA98" s="50"/>
      <c r="CB98" s="52"/>
      <c r="CC98" s="54"/>
      <c r="CD98" s="50"/>
      <c r="CE98" s="55"/>
      <c r="CF98" s="55"/>
      <c r="CG98" s="51"/>
      <c r="CH98" s="51"/>
      <c r="CI98" s="51"/>
      <c r="CJ98" s="48"/>
      <c r="CK98" s="48"/>
      <c r="CL98" s="50"/>
      <c r="CM98" s="52"/>
      <c r="CN98" s="54"/>
      <c r="CO98" s="50"/>
      <c r="CP98" s="55"/>
      <c r="CQ98" s="55"/>
      <c r="CR98" s="51"/>
      <c r="CS98" s="51"/>
      <c r="CT98" s="51"/>
      <c r="CU98" s="48"/>
      <c r="CV98" s="48"/>
      <c r="CW98" s="50"/>
      <c r="CX98" s="50"/>
      <c r="CY98" s="54"/>
      <c r="CZ98" s="50"/>
      <c r="DA98" s="55"/>
      <c r="DB98" s="55"/>
      <c r="DC98" s="50"/>
      <c r="DD98" s="51"/>
      <c r="DE98" s="51"/>
      <c r="DF98" s="48"/>
      <c r="DG98" s="48"/>
      <c r="DH98" s="50"/>
      <c r="DI98" s="52"/>
    </row>
    <row r="99" spans="1:113" ht="15.75" thickBot="1" x14ac:dyDescent="0.3">
      <c r="B99" s="98" t="s">
        <v>136</v>
      </c>
      <c r="C99" s="521">
        <f t="shared" ca="1" si="186"/>
        <v>5</v>
      </c>
      <c r="D99" s="523">
        <f t="shared" ca="1" si="187"/>
        <v>0.88</v>
      </c>
      <c r="E99" s="521">
        <f t="shared" ca="1" si="188"/>
        <v>20</v>
      </c>
      <c r="F99" s="523">
        <f t="shared" ca="1" si="189"/>
        <v>0.55000000000000004</v>
      </c>
      <c r="G99" s="520">
        <f t="shared" ca="1" si="190"/>
        <v>15</v>
      </c>
      <c r="H99" s="98"/>
      <c r="I99" s="98"/>
      <c r="J99" s="517"/>
      <c r="K99" s="53"/>
      <c r="L99" s="52"/>
      <c r="M99" s="62"/>
      <c r="N99" s="65"/>
      <c r="O99" s="65"/>
      <c r="P99" s="65"/>
      <c r="Q99" s="65"/>
      <c r="R99" s="65"/>
      <c r="S99" s="62"/>
      <c r="T99" s="65"/>
      <c r="U99" s="65"/>
      <c r="V99" s="65"/>
      <c r="W99" s="65"/>
      <c r="X99" s="61"/>
      <c r="AB99" s="51"/>
      <c r="AC99" s="51"/>
      <c r="AD99" s="51"/>
      <c r="AE99" s="48"/>
      <c r="AF99" s="48"/>
      <c r="AG99" s="50"/>
      <c r="AH99" s="50"/>
      <c r="AI99" s="51"/>
      <c r="AJ99" s="50"/>
      <c r="AK99" s="55"/>
      <c r="AL99" s="55"/>
      <c r="AM99" s="51"/>
      <c r="AN99" s="51"/>
      <c r="AO99" s="51"/>
      <c r="AP99" s="48"/>
      <c r="AQ99" s="48"/>
      <c r="AR99" s="50"/>
      <c r="AS99" s="50"/>
      <c r="AT99" s="51"/>
      <c r="AU99" s="50"/>
      <c r="AV99" s="55"/>
      <c r="AW99" s="55"/>
      <c r="AX99" s="50"/>
      <c r="AY99" s="51"/>
      <c r="AZ99" s="51"/>
      <c r="BA99" s="48"/>
      <c r="BB99" s="48"/>
      <c r="BC99" s="50"/>
      <c r="BD99" s="50"/>
      <c r="BP99" s="53"/>
      <c r="BQ99" s="52"/>
      <c r="BR99" s="54"/>
      <c r="BS99" s="50"/>
      <c r="BT99" s="55"/>
      <c r="BU99" s="55"/>
      <c r="BV99" s="51"/>
      <c r="BW99" s="51"/>
      <c r="BX99" s="51"/>
      <c r="BY99" s="48"/>
      <c r="BZ99" s="48"/>
      <c r="CA99" s="50"/>
      <c r="CB99" s="52"/>
      <c r="CC99" s="54"/>
      <c r="CD99" s="50"/>
      <c r="CE99" s="55"/>
      <c r="CF99" s="55"/>
      <c r="CG99" s="51"/>
      <c r="CH99" s="51"/>
      <c r="CI99" s="51"/>
      <c r="CJ99" s="48"/>
      <c r="CK99" s="48"/>
      <c r="CL99" s="50"/>
      <c r="CM99" s="52"/>
      <c r="CN99" s="54"/>
      <c r="CO99" s="50"/>
      <c r="CP99" s="55"/>
      <c r="CQ99" s="55"/>
      <c r="CR99" s="51"/>
      <c r="CS99" s="51"/>
      <c r="CT99" s="51"/>
      <c r="CU99" s="48"/>
      <c r="CV99" s="48"/>
      <c r="CW99" s="50"/>
      <c r="CX99" s="50"/>
      <c r="CY99" s="54"/>
      <c r="CZ99" s="50"/>
      <c r="DA99" s="55"/>
      <c r="DB99" s="55"/>
      <c r="DC99" s="50"/>
      <c r="DD99" s="51"/>
      <c r="DE99" s="51"/>
      <c r="DF99" s="48"/>
      <c r="DG99" s="48"/>
      <c r="DH99" s="50"/>
      <c r="DI99" s="52"/>
    </row>
    <row r="100" spans="1:113" ht="15.75" thickBot="1" x14ac:dyDescent="0.3">
      <c r="B100" s="98" t="s">
        <v>137</v>
      </c>
      <c r="C100" s="521">
        <f t="shared" ca="1" si="186"/>
        <v>1</v>
      </c>
      <c r="D100" s="523">
        <f t="shared" ca="1" si="187"/>
        <v>0.88</v>
      </c>
      <c r="E100" s="521">
        <f t="shared" ca="1" si="188"/>
        <v>20</v>
      </c>
      <c r="F100" s="523">
        <f t="shared" ca="1" si="189"/>
        <v>0.51</v>
      </c>
      <c r="G100" s="520">
        <f t="shared" ca="1" si="190"/>
        <v>19</v>
      </c>
      <c r="H100" s="98"/>
      <c r="I100" s="98"/>
      <c r="K100" s="68" t="s">
        <v>145</v>
      </c>
      <c r="L100" s="505">
        <v>1</v>
      </c>
      <c r="M100" s="506" t="s">
        <v>275</v>
      </c>
      <c r="N100" s="507">
        <v>20</v>
      </c>
      <c r="O100" s="36" t="s">
        <v>735</v>
      </c>
      <c r="P100" s="513">
        <v>614.22728580473927</v>
      </c>
      <c r="Q100" s="539"/>
      <c r="Y100" s="50"/>
      <c r="Z100" s="50"/>
      <c r="AA100" s="55"/>
      <c r="AI100" s="50"/>
      <c r="AK100" s="50"/>
      <c r="AL100" s="55"/>
      <c r="AT100" s="50"/>
      <c r="BP100" s="62"/>
      <c r="BQ100" s="63"/>
      <c r="BR100" s="62"/>
      <c r="BS100" s="65"/>
      <c r="BT100" s="64"/>
      <c r="BU100" s="58"/>
      <c r="BV100" s="58"/>
      <c r="BW100" s="58"/>
      <c r="BX100" s="58"/>
      <c r="BY100" s="58"/>
      <c r="BZ100" s="58"/>
      <c r="CA100" s="58"/>
      <c r="CB100" s="61"/>
      <c r="CC100" s="62"/>
      <c r="CD100" s="65"/>
      <c r="CE100" s="64"/>
      <c r="CF100" s="58"/>
      <c r="CG100" s="58"/>
      <c r="CH100" s="58"/>
      <c r="CI100" s="58"/>
      <c r="CJ100" s="58"/>
      <c r="CK100" s="58"/>
      <c r="CL100" s="58"/>
      <c r="CM100" s="61"/>
      <c r="CN100" s="62"/>
      <c r="CO100" s="58"/>
      <c r="CP100" s="65"/>
      <c r="CQ100" s="64"/>
      <c r="CR100" s="58"/>
      <c r="CS100" s="58"/>
      <c r="CT100" s="58"/>
      <c r="CU100" s="58"/>
      <c r="CV100" s="58"/>
      <c r="CW100" s="58"/>
      <c r="CX100" s="58"/>
      <c r="CY100" s="62"/>
      <c r="CZ100" s="58"/>
      <c r="DA100" s="58"/>
      <c r="DB100" s="58"/>
      <c r="DC100" s="58"/>
      <c r="DD100" s="58"/>
      <c r="DE100" s="58"/>
      <c r="DF100" s="58"/>
      <c r="DG100" s="58"/>
      <c r="DH100" s="58"/>
      <c r="DI100" s="61"/>
    </row>
    <row r="101" spans="1:113" x14ac:dyDescent="0.25">
      <c r="K101" s="75" t="s">
        <v>144</v>
      </c>
      <c r="L101" s="22">
        <v>0.88</v>
      </c>
      <c r="M101" s="80" t="s">
        <v>771</v>
      </c>
      <c r="N101" s="508">
        <v>0.51</v>
      </c>
      <c r="O101" s="68" t="s">
        <v>780</v>
      </c>
      <c r="P101" s="507" t="b">
        <v>1</v>
      </c>
      <c r="Q101" s="539"/>
      <c r="U101" s="22"/>
      <c r="V101" s="22"/>
      <c r="Y101" s="22"/>
      <c r="Z101" s="28"/>
      <c r="AA101" s="48"/>
      <c r="AI101" s="22"/>
      <c r="AJ101" s="28"/>
      <c r="AK101" s="48"/>
      <c r="AT101" s="22"/>
      <c r="AU101" s="28"/>
      <c r="AV101" s="48"/>
      <c r="BP101" s="68" t="s">
        <v>144</v>
      </c>
      <c r="BQ101" s="73" t="e">
        <f>IF([0]!Casilla2,φe_H1_C1,VLOOKUP(Seccion1!provincia_C1,datos_humedad_julio[],$L$57+1,FALSE))</f>
        <v>#NAME?</v>
      </c>
      <c r="BR101" s="111"/>
      <c r="BS101" s="77" t="s">
        <v>160</v>
      </c>
      <c r="BT101" s="70"/>
      <c r="BU101" s="38"/>
      <c r="BV101" s="38"/>
      <c r="BW101" s="38"/>
      <c r="BX101" s="38"/>
      <c r="BY101" s="71"/>
      <c r="BZ101" s="71"/>
      <c r="CA101" s="38"/>
      <c r="CB101" s="72"/>
      <c r="CC101" s="111"/>
      <c r="CD101" s="77" t="s">
        <v>160</v>
      </c>
      <c r="CE101" s="67"/>
      <c r="CF101" s="38"/>
      <c r="CG101" s="38"/>
      <c r="CH101" s="38"/>
      <c r="CI101" s="38"/>
      <c r="CJ101" s="38"/>
      <c r="CK101" s="38"/>
      <c r="CL101" s="38"/>
      <c r="CM101" s="72"/>
      <c r="CN101" s="111"/>
      <c r="CO101" s="77" t="s">
        <v>160</v>
      </c>
      <c r="CP101" s="67"/>
      <c r="CQ101" s="38"/>
      <c r="CR101" s="38"/>
      <c r="CS101" s="38"/>
      <c r="CT101" s="38"/>
      <c r="CU101" s="38"/>
      <c r="CV101" s="38"/>
      <c r="CW101" s="38"/>
      <c r="CX101" s="38"/>
      <c r="CY101" s="111"/>
      <c r="CZ101" s="77" t="s">
        <v>160</v>
      </c>
      <c r="DA101" s="67"/>
      <c r="DB101" s="38"/>
      <c r="DC101" s="38"/>
      <c r="DD101" s="38"/>
      <c r="DE101" s="38"/>
      <c r="DF101" s="38"/>
      <c r="DG101" s="38"/>
      <c r="DH101" s="38"/>
      <c r="DI101" s="72"/>
    </row>
    <row r="102" spans="1:113" x14ac:dyDescent="0.25">
      <c r="B102" s="98"/>
      <c r="C102" s="503" t="s">
        <v>800</v>
      </c>
      <c r="D102" s="503" t="s">
        <v>801</v>
      </c>
      <c r="E102" s="503" t="s">
        <v>735</v>
      </c>
      <c r="F102" s="503" t="s">
        <v>796</v>
      </c>
      <c r="G102" s="503" t="s">
        <v>797</v>
      </c>
      <c r="H102" s="503" t="s">
        <v>779</v>
      </c>
      <c r="K102" s="75" t="s">
        <v>108</v>
      </c>
      <c r="L102" s="79">
        <v>656.38386083460807</v>
      </c>
      <c r="M102" s="80" t="s">
        <v>109</v>
      </c>
      <c r="N102" s="78">
        <v>2336.9511438023419</v>
      </c>
      <c r="O102" s="75" t="s">
        <v>782</v>
      </c>
      <c r="P102" s="508">
        <v>2</v>
      </c>
      <c r="Q102" s="539"/>
      <c r="U102" s="48"/>
      <c r="V102" s="48"/>
      <c r="Y102" s="82"/>
      <c r="Z102" s="80"/>
      <c r="AA102" s="48"/>
      <c r="AI102" s="82"/>
      <c r="AJ102" s="80"/>
      <c r="AK102" s="48"/>
      <c r="AT102" s="82"/>
      <c r="AU102" s="80"/>
      <c r="AV102" s="48"/>
      <c r="BP102" s="75" t="s">
        <v>145</v>
      </c>
      <c r="BQ102" s="76" t="e">
        <f>IF([0]!Casilla2,φe_H1_C1,VLOOKUP(Seccion1!provincia_C1,datos_temperatura_julio[],$L$57+1,FALSE))</f>
        <v>#NAME?</v>
      </c>
      <c r="BR102" s="112"/>
      <c r="BS102" s="80" t="s">
        <v>162</v>
      </c>
      <c r="BT102" s="17"/>
      <c r="BY102" s="48"/>
      <c r="BZ102" s="48"/>
      <c r="CB102" s="49"/>
      <c r="CC102" s="112"/>
      <c r="CD102" s="80" t="s">
        <v>162</v>
      </c>
      <c r="CE102" s="48"/>
      <c r="CM102" s="49"/>
      <c r="CN102" s="112"/>
      <c r="CO102" s="80" t="s">
        <v>162</v>
      </c>
      <c r="CP102" s="48"/>
      <c r="CY102" s="112"/>
      <c r="CZ102" s="80" t="s">
        <v>162</v>
      </c>
      <c r="DA102" s="48"/>
      <c r="DI102" s="49"/>
    </row>
    <row r="103" spans="1:113" ht="18.75" thickBot="1" x14ac:dyDescent="0.4">
      <c r="A103" s="15">
        <v>1</v>
      </c>
      <c r="B103" s="98" t="s">
        <v>138</v>
      </c>
      <c r="C103" s="521">
        <f ca="1">INDIRECT("N"&amp;MATCH($B103,$M$83:$M$392,0)+83+19)</f>
        <v>1145.1060604631475</v>
      </c>
      <c r="D103" s="521">
        <f ca="1">INDIRECT("L"&amp;MATCH($B103,$M$83:$M$392,0)+83+19)</f>
        <v>477.73498327410238</v>
      </c>
      <c r="E103" s="521">
        <f ca="1">INDIRECT("P"&amp;MATCH($B103,$M$83:$M$392,0)+83+16)</f>
        <v>667.37107718904508</v>
      </c>
      <c r="F103" s="522">
        <f t="shared" ref="F103:F114" ca="1" si="191">INDIRECT("L"&amp;MATCH($B103,$M$83:$M$392,0)+83+22)</f>
        <v>0.63414522275344942</v>
      </c>
      <c r="G103" s="522">
        <f t="shared" ref="G103:G114" ca="1" si="192">INDIRECT("N"&amp;MATCH($B103,$M$83:$M$392,0)+83+22)</f>
        <v>0.3553322467958171</v>
      </c>
      <c r="H103" s="522" t="b">
        <f ca="1">INDIRECT("L"&amp;MATCH($B103,$M$83:$M$392,0)+83+20)</f>
        <v>0</v>
      </c>
      <c r="K103" s="486" t="s">
        <v>156</v>
      </c>
      <c r="L103" s="509">
        <v>577.61779753445512</v>
      </c>
      <c r="M103" s="115" t="s">
        <v>781</v>
      </c>
      <c r="N103" s="487">
        <v>1191.8450833391944</v>
      </c>
      <c r="O103" s="75" t="s">
        <v>161</v>
      </c>
      <c r="P103" s="508">
        <v>2.0371975542932457E-11</v>
      </c>
      <c r="Q103" s="539"/>
      <c r="Y103" s="79"/>
      <c r="Z103" s="80"/>
      <c r="AA103" s="79"/>
      <c r="AI103" s="79"/>
      <c r="AJ103" s="80"/>
      <c r="AK103" s="79"/>
      <c r="AT103" s="79"/>
      <c r="AU103" s="80"/>
      <c r="AV103" s="79"/>
      <c r="BP103" s="75" t="s">
        <v>108</v>
      </c>
      <c r="BQ103" s="78">
        <f ca="1">IF(ISNUMBER(ϴe_H3_C1),IF(ϴe_H3_C1&gt;=0,610.5*EXP((17.269*ϴe_H3_C1)/(237.3+ϴe_H3_C1)),610.5*EXP((21.875*ϴe_H3_C1)/(265.5+ϴe_H3_C1))),NA())</f>
        <v>871.86452524041533</v>
      </c>
      <c r="BR103" s="113"/>
      <c r="BS103" s="80" t="s">
        <v>125</v>
      </c>
      <c r="BT103" s="79"/>
      <c r="CB103" s="49"/>
      <c r="CC103" s="113"/>
      <c r="CD103" s="80" t="s">
        <v>125</v>
      </c>
      <c r="CE103" s="79"/>
      <c r="CM103" s="49"/>
      <c r="CN103" s="113"/>
      <c r="CO103" s="80" t="s">
        <v>125</v>
      </c>
      <c r="CP103" s="79"/>
      <c r="CY103" s="113"/>
      <c r="CZ103" s="80" t="s">
        <v>125</v>
      </c>
      <c r="DA103" s="79"/>
      <c r="DI103" s="49"/>
    </row>
    <row r="104" spans="1:113" ht="18" x14ac:dyDescent="0.35">
      <c r="A104" s="15">
        <v>2</v>
      </c>
      <c r="B104" s="98" t="s">
        <v>139</v>
      </c>
      <c r="C104" s="521">
        <f t="shared" ref="C104:C114" ca="1" si="193">INDIRECT("N"&amp;MATCH($B104,$M$83:$M$392,0)+83+19)</f>
        <v>1168.475571901171</v>
      </c>
      <c r="D104" s="521">
        <f t="shared" ref="D104:D114" ca="1" si="194">INDIRECT("L"&amp;MATCH($B104,$M$83:$M$392,0)+83+19)</f>
        <v>512.81999999999994</v>
      </c>
      <c r="E104" s="521">
        <f t="shared" ref="E104:E114" ca="1" si="195">INDIRECT("P"&amp;MATCH($B104,$M$83:$M$392,0)+83+16)</f>
        <v>655.65557190117102</v>
      </c>
      <c r="F104" s="522">
        <f t="shared" ca="1" si="191"/>
        <v>0.63123041513003719</v>
      </c>
      <c r="G104" s="522">
        <f t="shared" ca="1" si="192"/>
        <v>0.35252364981738177</v>
      </c>
      <c r="H104" s="522" t="b">
        <f t="shared" ref="H104:H114" ca="1" si="196">INDIRECT("L"&amp;MATCH($B104,$M$83:$M$392,0)+83+20)</f>
        <v>0</v>
      </c>
      <c r="I104" s="15" t="s">
        <v>804</v>
      </c>
      <c r="K104" s="68" t="s">
        <v>779</v>
      </c>
      <c r="L104" s="70" t="b">
        <v>0</v>
      </c>
      <c r="M104" s="38"/>
      <c r="N104" s="72"/>
      <c r="O104" s="75" t="s">
        <v>628</v>
      </c>
      <c r="P104" s="49"/>
      <c r="Q104" s="539"/>
      <c r="Y104" s="79"/>
      <c r="Z104" s="80"/>
      <c r="AA104" s="82"/>
      <c r="AI104" s="79"/>
      <c r="AJ104" s="80"/>
      <c r="AK104" s="82"/>
      <c r="AT104" s="79"/>
      <c r="AU104" s="80"/>
      <c r="AV104" s="82"/>
      <c r="BP104" s="81" t="s">
        <v>109</v>
      </c>
      <c r="BQ104" s="78" t="e">
        <f>IF(ISNUMBER([0]!ϴi_C1),IF([0]!ϴi_C1&gt;=0,610.5*EXP((17.269*[0]!ϴi_C1)/(237.3+[0]!ϴi_C1)),610.5*EXP((21.875*[0]!ϴi_C1)/(265.5+[0]!ϴi_C1))),NA())</f>
        <v>#N/A</v>
      </c>
      <c r="BR104" s="113"/>
      <c r="BS104" s="80" t="s">
        <v>126</v>
      </c>
      <c r="BT104" s="82"/>
      <c r="CB104" s="49"/>
      <c r="CC104" s="113"/>
      <c r="CD104" s="80" t="s">
        <v>126</v>
      </c>
      <c r="CE104" s="82"/>
      <c r="CM104" s="49"/>
      <c r="CN104" s="113"/>
      <c r="CO104" s="80" t="s">
        <v>126</v>
      </c>
      <c r="CP104" s="82"/>
      <c r="CY104" s="113"/>
      <c r="CZ104" s="80" t="s">
        <v>126</v>
      </c>
      <c r="DA104" s="82"/>
      <c r="DI104" s="49"/>
    </row>
    <row r="105" spans="1:113" ht="18" x14ac:dyDescent="0.35">
      <c r="A105" s="15">
        <v>3</v>
      </c>
      <c r="B105" s="98" t="s">
        <v>140</v>
      </c>
      <c r="C105" s="521">
        <f t="shared" ca="1" si="193"/>
        <v>1261.9536176532647</v>
      </c>
      <c r="D105" s="521">
        <f t="shared" ca="1" si="194"/>
        <v>634.02158087959458</v>
      </c>
      <c r="E105" s="521">
        <f t="shared" ca="1" si="195"/>
        <v>627.93203677367012</v>
      </c>
      <c r="F105" s="522">
        <f t="shared" ca="1" si="191"/>
        <v>0.61270066402828405</v>
      </c>
      <c r="G105" s="522">
        <f t="shared" ca="1" si="192"/>
        <v>0.33565768883604219</v>
      </c>
      <c r="H105" s="522" t="b">
        <f t="shared" ca="1" si="196"/>
        <v>0</v>
      </c>
      <c r="I105" s="524">
        <f ca="1">MAX(G103:G114)</f>
        <v>0.3553322467958171</v>
      </c>
      <c r="K105" s="75" t="s">
        <v>125</v>
      </c>
      <c r="L105" s="79">
        <v>1489.806354173993</v>
      </c>
      <c r="M105" s="80" t="s">
        <v>126</v>
      </c>
      <c r="N105" s="76">
        <v>12.926812679579594</v>
      </c>
      <c r="O105" s="43"/>
      <c r="P105" s="49"/>
      <c r="Q105" s="539"/>
      <c r="Y105" s="79"/>
      <c r="Z105" s="80"/>
      <c r="AA105" s="83"/>
      <c r="AI105" s="79"/>
      <c r="AJ105" s="80"/>
      <c r="AK105" s="83"/>
      <c r="AT105" s="79"/>
      <c r="AU105" s="80"/>
      <c r="AV105" s="83"/>
      <c r="BP105" s="75" t="s">
        <v>156</v>
      </c>
      <c r="BQ105" s="78">
        <f ca="1">P_sat_e_VN_C1*φe_H3_C1</f>
        <v>767.24078221156549</v>
      </c>
      <c r="BR105" s="113"/>
      <c r="BS105" s="80" t="s">
        <v>127</v>
      </c>
      <c r="BT105" s="83"/>
      <c r="CB105" s="49"/>
      <c r="CC105" s="113"/>
      <c r="CD105" s="80" t="s">
        <v>127</v>
      </c>
      <c r="CE105" s="83"/>
      <c r="CM105" s="49"/>
      <c r="CN105" s="113"/>
      <c r="CO105" s="80" t="s">
        <v>127</v>
      </c>
      <c r="CP105" s="83"/>
      <c r="CY105" s="113"/>
      <c r="CZ105" s="80" t="s">
        <v>127</v>
      </c>
      <c r="DA105" s="83"/>
      <c r="DI105" s="49"/>
    </row>
    <row r="106" spans="1:113" ht="18.75" thickBot="1" x14ac:dyDescent="0.4">
      <c r="A106" s="15">
        <v>4</v>
      </c>
      <c r="B106" s="98" t="s">
        <v>141</v>
      </c>
      <c r="C106" s="521">
        <f t="shared" ca="1" si="193"/>
        <v>1378.8011748433817</v>
      </c>
      <c r="D106" s="521">
        <f t="shared" ca="1" si="194"/>
        <v>826.16736089095798</v>
      </c>
      <c r="E106" s="521">
        <f t="shared" ca="1" si="195"/>
        <v>552.63381395242368</v>
      </c>
      <c r="F106" s="522">
        <f t="shared" ca="1" si="191"/>
        <v>0.56119730431787618</v>
      </c>
      <c r="G106" s="522">
        <f t="shared" ca="1" si="192"/>
        <v>0.29626071416428634</v>
      </c>
      <c r="H106" s="522" t="b">
        <f t="shared" ca="1" si="196"/>
        <v>0</v>
      </c>
      <c r="K106" s="486" t="s">
        <v>127</v>
      </c>
      <c r="L106" s="512">
        <v>0.62772698313576814</v>
      </c>
      <c r="M106" s="115" t="s">
        <v>122</v>
      </c>
      <c r="N106" s="510">
        <v>0.34920607755842553</v>
      </c>
      <c r="O106" s="57"/>
      <c r="P106" s="61"/>
      <c r="Q106" s="539"/>
      <c r="Y106" s="22"/>
      <c r="Z106" s="80"/>
      <c r="AA106" s="22"/>
      <c r="AI106" s="22"/>
      <c r="AJ106" s="80"/>
      <c r="AK106" s="22"/>
      <c r="AT106" s="22"/>
      <c r="AU106" s="80"/>
      <c r="AV106" s="22"/>
      <c r="BP106" s="75"/>
      <c r="BR106" s="114"/>
      <c r="BS106" s="80" t="s">
        <v>122</v>
      </c>
      <c r="BT106" s="22"/>
      <c r="CB106" s="49"/>
      <c r="CC106" s="114"/>
      <c r="CD106" s="80" t="s">
        <v>122</v>
      </c>
      <c r="CE106" s="22"/>
      <c r="CM106" s="49"/>
      <c r="CN106" s="114"/>
      <c r="CO106" s="80" t="s">
        <v>122</v>
      </c>
      <c r="CP106" s="22"/>
      <c r="CY106" s="114"/>
      <c r="CZ106" s="80" t="s">
        <v>122</v>
      </c>
      <c r="DA106" s="22"/>
      <c r="DI106" s="49"/>
    </row>
    <row r="107" spans="1:113" x14ac:dyDescent="0.25">
      <c r="A107" s="15">
        <v>5</v>
      </c>
      <c r="B107" s="98" t="s">
        <v>142</v>
      </c>
      <c r="C107" s="521">
        <f t="shared" ca="1" si="193"/>
        <v>1691.1413758361061</v>
      </c>
      <c r="D107" s="521">
        <f t="shared" ca="1" si="194"/>
        <v>1086.4568606995924</v>
      </c>
      <c r="E107" s="521">
        <f t="shared" ca="1" si="195"/>
        <v>604.68451513651371</v>
      </c>
      <c r="F107" s="522">
        <f t="shared" ca="1" si="191"/>
        <v>0.54872082850470427</v>
      </c>
      <c r="G107" s="522">
        <f t="shared" ca="1" si="192"/>
        <v>0.28807002009255189</v>
      </c>
      <c r="H107" s="522" t="b">
        <f t="shared" ca="1" si="196"/>
        <v>0</v>
      </c>
      <c r="K107" s="80"/>
      <c r="O107" s="17"/>
      <c r="Q107" s="543"/>
      <c r="Z107" s="28"/>
      <c r="AA107" s="17"/>
      <c r="AJ107" s="28"/>
      <c r="AK107" s="17"/>
      <c r="AU107" s="28"/>
      <c r="AV107" s="17"/>
      <c r="BP107" s="43"/>
      <c r="BQ107" s="49"/>
      <c r="BR107" s="43"/>
      <c r="BS107" s="28" t="s">
        <v>159</v>
      </c>
      <c r="BT107" s="17"/>
      <c r="CB107" s="49"/>
      <c r="CC107" s="43"/>
      <c r="CD107" s="28" t="s">
        <v>159</v>
      </c>
      <c r="CE107" s="17"/>
      <c r="CM107" s="49"/>
      <c r="CN107" s="43"/>
      <c r="CO107" s="28" t="s">
        <v>159</v>
      </c>
      <c r="CP107" s="17"/>
      <c r="CY107" s="43"/>
      <c r="CZ107" s="28" t="s">
        <v>159</v>
      </c>
      <c r="DA107" s="17"/>
      <c r="DI107" s="49"/>
    </row>
    <row r="108" spans="1:113" ht="15.75" thickBot="1" x14ac:dyDescent="0.3">
      <c r="A108" s="15">
        <v>6</v>
      </c>
      <c r="B108" s="98" t="s">
        <v>143</v>
      </c>
      <c r="C108" s="521">
        <f t="shared" ca="1" si="193"/>
        <v>2027.8810249260428</v>
      </c>
      <c r="D108" s="521">
        <f t="shared" ca="1" si="194"/>
        <v>1423.3527068702524</v>
      </c>
      <c r="E108" s="521">
        <f t="shared" ca="1" si="195"/>
        <v>604.52831805579035</v>
      </c>
      <c r="F108" s="522">
        <f t="shared" ca="1" si="191"/>
        <v>0.55332748183105684</v>
      </c>
      <c r="G108" s="522">
        <f t="shared" ca="1" si="192"/>
        <v>0.29104096337270213</v>
      </c>
      <c r="H108" s="522" t="b">
        <f t="shared" ca="1" si="196"/>
        <v>0</v>
      </c>
      <c r="K108" s="80"/>
      <c r="Q108" s="544"/>
      <c r="Z108" s="80"/>
      <c r="AA108" s="17"/>
      <c r="AJ108" s="80"/>
      <c r="AK108" s="17"/>
      <c r="AU108" s="80"/>
      <c r="AV108" s="17"/>
      <c r="BP108" s="57"/>
      <c r="BQ108" s="61"/>
      <c r="BR108" s="57"/>
      <c r="BS108" s="115" t="s">
        <v>161</v>
      </c>
      <c r="BT108" s="58"/>
      <c r="BU108" s="58"/>
      <c r="BV108" s="58"/>
      <c r="BW108" s="58"/>
      <c r="BX108" s="58"/>
      <c r="BY108" s="58"/>
      <c r="BZ108" s="58"/>
      <c r="CA108" s="58"/>
      <c r="CB108" s="61"/>
      <c r="CC108" s="57"/>
      <c r="CD108" s="115" t="s">
        <v>161</v>
      </c>
      <c r="CE108" s="84"/>
      <c r="CF108" s="58"/>
      <c r="CG108" s="58"/>
      <c r="CH108" s="58"/>
      <c r="CI108" s="58"/>
      <c r="CJ108" s="58"/>
      <c r="CK108" s="58"/>
      <c r="CL108" s="58"/>
      <c r="CM108" s="61"/>
      <c r="CN108" s="57"/>
      <c r="CO108" s="115" t="s">
        <v>161</v>
      </c>
      <c r="CP108" s="84"/>
      <c r="CQ108" s="58"/>
      <c r="CR108" s="58"/>
      <c r="CS108" s="58"/>
      <c r="CT108" s="58"/>
      <c r="CU108" s="58"/>
      <c r="CV108" s="58"/>
      <c r="CW108" s="58"/>
      <c r="CX108" s="58"/>
      <c r="CY108" s="57"/>
      <c r="CZ108" s="115" t="s">
        <v>161</v>
      </c>
      <c r="DA108" s="84"/>
      <c r="DB108" s="58"/>
      <c r="DC108" s="58"/>
      <c r="DD108" s="58"/>
      <c r="DE108" s="58"/>
      <c r="DF108" s="58"/>
      <c r="DG108" s="58"/>
      <c r="DH108" s="58"/>
      <c r="DI108" s="61"/>
    </row>
    <row r="109" spans="1:113" ht="15.75" thickBot="1" x14ac:dyDescent="0.3">
      <c r="A109" s="15">
        <v>7</v>
      </c>
      <c r="B109" s="98" t="s">
        <v>132</v>
      </c>
      <c r="C109" s="521">
        <f t="shared" ca="1" si="193"/>
        <v>2120.2674171167355</v>
      </c>
      <c r="D109" s="521">
        <f t="shared" ca="1" si="194"/>
        <v>1603.1904075595244</v>
      </c>
      <c r="E109" s="521">
        <f t="shared" ca="1" si="195"/>
        <v>517.07700955721111</v>
      </c>
      <c r="F109" s="522">
        <f t="shared" ca="1" si="191"/>
        <v>0.55439081590157524</v>
      </c>
      <c r="G109" s="522">
        <f t="shared" ca="1" si="192"/>
        <v>0.29173545931963113</v>
      </c>
      <c r="H109" s="522" t="b">
        <f t="shared" ca="1" si="196"/>
        <v>0</v>
      </c>
      <c r="K109" s="516" t="s">
        <v>179</v>
      </c>
      <c r="L109" s="30">
        <v>1</v>
      </c>
      <c r="M109" s="110" t="str">
        <f>VLOOKUP(L109,Aux!$AL$72:$AM$83,2,FALSE)</f>
        <v>Enero</v>
      </c>
      <c r="N109" s="32"/>
      <c r="O109" s="32"/>
      <c r="P109" s="32"/>
      <c r="Q109" s="540"/>
      <c r="R109" s="32"/>
      <c r="S109" s="32"/>
      <c r="T109" s="32"/>
      <c r="U109" s="32"/>
      <c r="V109" s="32"/>
      <c r="W109" s="32"/>
      <c r="X109" s="32"/>
      <c r="Y109" s="32"/>
      <c r="Z109" s="32"/>
      <c r="AA109" s="33"/>
    </row>
    <row r="110" spans="1:113" ht="15.75" thickBot="1" x14ac:dyDescent="0.3">
      <c r="A110" s="15">
        <v>8</v>
      </c>
      <c r="B110" s="98" t="s">
        <v>133</v>
      </c>
      <c r="C110" s="521">
        <f t="shared" ca="1" si="193"/>
        <v>2120.2674171167355</v>
      </c>
      <c r="D110" s="521">
        <f t="shared" ca="1" si="194"/>
        <v>1647.1134324241689</v>
      </c>
      <c r="E110" s="521">
        <f t="shared" ca="1" si="195"/>
        <v>473.15398469256661</v>
      </c>
      <c r="F110" s="522">
        <f t="shared" ca="1" si="191"/>
        <v>0.55439081590157524</v>
      </c>
      <c r="G110" s="522">
        <f t="shared" ca="1" si="192"/>
        <v>0.29173545931963113</v>
      </c>
      <c r="H110" s="522" t="b">
        <f t="shared" ca="1" si="196"/>
        <v>0</v>
      </c>
      <c r="K110" s="42" t="s">
        <v>120</v>
      </c>
      <c r="L110" s="41" t="s">
        <v>121</v>
      </c>
      <c r="M110" s="515" t="s">
        <v>265</v>
      </c>
      <c r="N110" s="35" t="s">
        <v>146</v>
      </c>
      <c r="O110" s="35" t="s">
        <v>806</v>
      </c>
      <c r="P110" s="35" t="s">
        <v>167</v>
      </c>
      <c r="Q110" s="35" t="s">
        <v>807</v>
      </c>
      <c r="R110" s="35" t="s">
        <v>783</v>
      </c>
      <c r="S110" s="532" t="s">
        <v>170</v>
      </c>
      <c r="T110" s="40" t="s">
        <v>178</v>
      </c>
      <c r="U110" s="40" t="s">
        <v>169</v>
      </c>
      <c r="V110" s="40" t="s">
        <v>168</v>
      </c>
      <c r="W110" s="40" t="s">
        <v>175</v>
      </c>
      <c r="X110" s="41" t="s">
        <v>176</v>
      </c>
      <c r="AB110" s="80"/>
      <c r="AG110" s="80"/>
      <c r="AH110" s="17"/>
      <c r="AI110" s="17"/>
      <c r="AJ110" s="80"/>
      <c r="AK110" s="22"/>
      <c r="AM110" s="80"/>
      <c r="AN110" s="80"/>
      <c r="AO110" s="80"/>
      <c r="AP110" s="80"/>
      <c r="AQ110" s="80"/>
      <c r="AR110" s="80"/>
      <c r="AS110" s="17"/>
      <c r="AT110" s="17"/>
      <c r="AU110" s="80"/>
      <c r="AV110" s="22"/>
      <c r="AX110" s="80"/>
      <c r="AY110" s="80"/>
      <c r="AZ110" s="80"/>
      <c r="BA110" s="80"/>
      <c r="BB110" s="80"/>
      <c r="BC110" s="80"/>
      <c r="BD110" s="17"/>
      <c r="BP110" s="29" t="s">
        <v>179</v>
      </c>
      <c r="BQ110" s="30">
        <v>2</v>
      </c>
      <c r="BR110" s="110"/>
      <c r="BS110" s="34" t="s">
        <v>163</v>
      </c>
      <c r="BT110" s="31">
        <f ca="1">P_sat_i_VN_C1*VLOOKUP(1,φi[],2,FALSE)</f>
        <v>1519.0182434715223</v>
      </c>
      <c r="BU110" s="32"/>
      <c r="BV110" s="32"/>
      <c r="BW110" s="32"/>
      <c r="BX110" s="32"/>
      <c r="BY110" s="32"/>
      <c r="BZ110" s="32"/>
      <c r="CA110" s="34" t="s">
        <v>267</v>
      </c>
      <c r="CB110" s="30">
        <f>VLOOKUP(1,φi[],2,FALSE)</f>
        <v>0.65</v>
      </c>
      <c r="CC110" s="110"/>
      <c r="CD110" s="34" t="s">
        <v>164</v>
      </c>
      <c r="CE110" s="31">
        <f ca="1">P_sat_i_VN_C1*VLOOKUP(2,φi[],2,FALSE)</f>
        <v>1752.7133578517564</v>
      </c>
      <c r="CF110" s="34"/>
      <c r="CG110" s="34"/>
      <c r="CH110" s="32"/>
      <c r="CI110" s="32"/>
      <c r="CJ110" s="32"/>
      <c r="CK110" s="32"/>
      <c r="CL110" s="34" t="s">
        <v>268</v>
      </c>
      <c r="CM110" s="30">
        <f>VLOOKUP(2,φi[],2,FALSE)</f>
        <v>0.75</v>
      </c>
      <c r="CN110" s="110"/>
      <c r="CO110" s="34" t="s">
        <v>165</v>
      </c>
      <c r="CP110" s="31">
        <f ca="1">P_sat_i_VN_C1*VLOOKUP(3,φi[],2,FALSE)</f>
        <v>1869.5609150418736</v>
      </c>
      <c r="CQ110" s="32"/>
      <c r="CR110" s="34"/>
      <c r="CS110" s="34"/>
      <c r="CT110" s="34"/>
      <c r="CU110" s="34"/>
      <c r="CV110" s="34"/>
      <c r="CW110" s="34" t="s">
        <v>269</v>
      </c>
      <c r="CX110" s="116">
        <f>VLOOKUP(3,φi[],2,FALSE)</f>
        <v>0.8</v>
      </c>
      <c r="CY110" s="110"/>
      <c r="CZ110" s="34" t="s">
        <v>166</v>
      </c>
      <c r="DA110" s="31">
        <f ca="1">P_sat_i_VN_C1*Seccion1!φi_C1</f>
        <v>747.82436601674965</v>
      </c>
      <c r="DB110" s="32"/>
      <c r="DC110" s="34"/>
      <c r="DD110" s="34"/>
      <c r="DE110" s="34"/>
      <c r="DF110" s="34"/>
      <c r="DG110" s="34"/>
      <c r="DH110" s="34" t="s">
        <v>154</v>
      </c>
      <c r="DI110" s="30"/>
    </row>
    <row r="111" spans="1:113" x14ac:dyDescent="0.25">
      <c r="A111" s="15">
        <v>9</v>
      </c>
      <c r="B111" s="98" t="s">
        <v>134</v>
      </c>
      <c r="C111" s="521">
        <f t="shared" ca="1" si="193"/>
        <v>1770.6084407517635</v>
      </c>
      <c r="D111" s="521">
        <f t="shared" ca="1" si="194"/>
        <v>1346.4817674268411</v>
      </c>
      <c r="E111" s="521">
        <f t="shared" ca="1" si="195"/>
        <v>424.12667332492242</v>
      </c>
      <c r="F111" s="522">
        <f t="shared" ca="1" si="191"/>
        <v>0.54992789618239468</v>
      </c>
      <c r="G111" s="522">
        <f t="shared" ca="1" si="192"/>
        <v>0.28884260743403761</v>
      </c>
      <c r="H111" s="522" t="b">
        <f t="shared" ca="1" si="196"/>
        <v>0</v>
      </c>
      <c r="J111" s="517"/>
      <c r="K111" s="46">
        <v>-1</v>
      </c>
      <c r="L111" s="47">
        <v>562.04115679306165</v>
      </c>
      <c r="M111" s="54"/>
      <c r="N111" s="44" t="s">
        <v>107</v>
      </c>
      <c r="O111" s="44" t="e">
        <v>#N/A</v>
      </c>
      <c r="P111" s="44"/>
      <c r="Q111" s="541"/>
      <c r="R111" s="44"/>
      <c r="S111" s="533"/>
      <c r="T111" s="44"/>
      <c r="U111" s="44"/>
      <c r="V111" s="44"/>
      <c r="W111" s="44"/>
      <c r="X111" s="531"/>
      <c r="AB111" s="35"/>
      <c r="AC111" s="35"/>
      <c r="AD111" s="35"/>
      <c r="AE111" s="35"/>
      <c r="AF111" s="35"/>
      <c r="AG111" s="35"/>
      <c r="AH111" s="35"/>
      <c r="AI111" s="511"/>
      <c r="AJ111" s="35"/>
      <c r="AK111" s="35"/>
      <c r="AL111" s="35"/>
      <c r="AM111" s="35"/>
      <c r="AN111" s="35"/>
      <c r="AO111" s="35"/>
      <c r="AP111" s="35"/>
      <c r="AQ111" s="35"/>
      <c r="AR111" s="35"/>
      <c r="AS111" s="35"/>
      <c r="AT111" s="511"/>
      <c r="AU111" s="35"/>
      <c r="AV111" s="35"/>
      <c r="AW111" s="35"/>
      <c r="AX111" s="35"/>
      <c r="AY111" s="35"/>
      <c r="AZ111" s="35"/>
      <c r="BA111" s="35"/>
      <c r="BB111" s="35"/>
      <c r="BC111" s="35"/>
      <c r="BD111" s="35"/>
      <c r="BP111" s="42" t="s">
        <v>120</v>
      </c>
      <c r="BQ111" s="41" t="s">
        <v>121</v>
      </c>
      <c r="BR111" s="42" t="s">
        <v>265</v>
      </c>
      <c r="BS111" s="40" t="s">
        <v>146</v>
      </c>
      <c r="BT111" s="40" t="s">
        <v>147</v>
      </c>
      <c r="BU111" s="40" t="s">
        <v>170</v>
      </c>
      <c r="BV111" s="40" t="s">
        <v>178</v>
      </c>
      <c r="BW111" s="40" t="s">
        <v>169</v>
      </c>
      <c r="BX111" s="40" t="s">
        <v>168</v>
      </c>
      <c r="BY111" s="40" t="s">
        <v>175</v>
      </c>
      <c r="BZ111" s="40" t="s">
        <v>176</v>
      </c>
      <c r="CA111" s="40" t="s">
        <v>167</v>
      </c>
      <c r="CB111" s="41" t="s">
        <v>266</v>
      </c>
      <c r="CC111" s="42" t="s">
        <v>265</v>
      </c>
      <c r="CD111" s="40" t="s">
        <v>148</v>
      </c>
      <c r="CE111" s="40" t="s">
        <v>149</v>
      </c>
      <c r="CF111" s="40" t="s">
        <v>170</v>
      </c>
      <c r="CG111" s="40" t="s">
        <v>178</v>
      </c>
      <c r="CH111" s="40" t="s">
        <v>169</v>
      </c>
      <c r="CI111" s="40" t="s">
        <v>168</v>
      </c>
      <c r="CJ111" s="40" t="s">
        <v>175</v>
      </c>
      <c r="CK111" s="40" t="s">
        <v>176</v>
      </c>
      <c r="CL111" s="40" t="s">
        <v>171</v>
      </c>
      <c r="CM111" s="41" t="s">
        <v>266</v>
      </c>
      <c r="CN111" s="42" t="s">
        <v>265</v>
      </c>
      <c r="CO111" s="40" t="s">
        <v>150</v>
      </c>
      <c r="CP111" s="40" t="s">
        <v>151</v>
      </c>
      <c r="CQ111" s="40" t="s">
        <v>170</v>
      </c>
      <c r="CR111" s="40" t="s">
        <v>178</v>
      </c>
      <c r="CS111" s="40" t="s">
        <v>169</v>
      </c>
      <c r="CT111" s="40" t="s">
        <v>168</v>
      </c>
      <c r="CU111" s="40" t="s">
        <v>175</v>
      </c>
      <c r="CV111" s="40" t="s">
        <v>176</v>
      </c>
      <c r="CW111" s="40" t="s">
        <v>172</v>
      </c>
      <c r="CX111" s="41" t="s">
        <v>266</v>
      </c>
      <c r="CY111" s="42" t="s">
        <v>265</v>
      </c>
      <c r="CZ111" s="40" t="s">
        <v>152</v>
      </c>
      <c r="DA111" s="40" t="s">
        <v>153</v>
      </c>
      <c r="DB111" s="40" t="s">
        <v>170</v>
      </c>
      <c r="DC111" s="40" t="s">
        <v>178</v>
      </c>
      <c r="DD111" s="40" t="s">
        <v>169</v>
      </c>
      <c r="DE111" s="40" t="s">
        <v>168</v>
      </c>
      <c r="DF111" s="40" t="s">
        <v>175</v>
      </c>
      <c r="DG111" s="40" t="s">
        <v>176</v>
      </c>
      <c r="DH111" s="40" t="s">
        <v>177</v>
      </c>
      <c r="DI111" s="41" t="s">
        <v>266</v>
      </c>
    </row>
    <row r="112" spans="1:113" x14ac:dyDescent="0.25">
      <c r="A112" s="15">
        <v>10</v>
      </c>
      <c r="B112" s="98" t="s">
        <v>135</v>
      </c>
      <c r="C112" s="521">
        <f t="shared" ca="1" si="193"/>
        <v>1402.1706862814051</v>
      </c>
      <c r="D112" s="521">
        <f t="shared" ca="1" si="194"/>
        <v>1018.6671878638742</v>
      </c>
      <c r="E112" s="521">
        <f t="shared" ca="1" si="195"/>
        <v>383.50349841753086</v>
      </c>
      <c r="F112" s="522">
        <f t="shared" ca="1" si="191"/>
        <v>0.54348733678799854</v>
      </c>
      <c r="G112" s="522">
        <f t="shared" ca="1" si="192"/>
        <v>0.28476756610720538</v>
      </c>
      <c r="H112" s="522" t="b">
        <f t="shared" ca="1" si="196"/>
        <v>0</v>
      </c>
      <c r="J112" s="517"/>
      <c r="K112" s="53">
        <v>-0.87852494577006512</v>
      </c>
      <c r="L112" s="47">
        <v>567.73502839653554</v>
      </c>
      <c r="M112" s="54">
        <v>-3.4307669940244208</v>
      </c>
      <c r="N112" s="55">
        <v>477.73498327410238</v>
      </c>
      <c r="O112" s="55">
        <v>0</v>
      </c>
      <c r="P112" s="50">
        <f t="shared" ref="P112:P124" ca="1" si="197">IF(ISNA(T112),
_xlfn.FORECAST.LINEAR($J60,INDIRECT(W112),INDIRECT(X112)),T112)</f>
        <v>477.73498327410238</v>
      </c>
      <c r="Q112" s="514"/>
      <c r="R112" s="50"/>
      <c r="S112" s="535">
        <f t="array" ref="S112">SUM(IF(ISNUMBER(T$112:T112),1,0))+IF($J112&gt;Capas_VN_C1,1,0)</f>
        <v>1</v>
      </c>
      <c r="T112" s="50">
        <f>IF(O112=1,$L112,L129)</f>
        <v>477.73498327410238</v>
      </c>
      <c r="U112" s="50">
        <f t="shared" ref="U112:U124" si="198">VLOOKUP($J113,$S$112:$T$124,2,FALSE)</f>
        <v>477.73498327410238</v>
      </c>
      <c r="V112" s="50">
        <f t="shared" ref="V112:V124" si="199">INDEX($J$60:$J$72,MATCH(U112,T$112:T$124,0))</f>
        <v>0</v>
      </c>
      <c r="W112" s="50" t="str">
        <f t="shared" ref="W112:W124" si="200">CONCATENATE(ADDRESS(ROW(U$112)-1+S112,COLUMN(U$112)),":",ADDRESS(ROW(U$112)+S112,COLUMN(U$112)))</f>
        <v>$U$112:$U$113</v>
      </c>
      <c r="X112" s="214" t="str">
        <f t="shared" ref="X112:X124" si="201">CONCATENATE(ADDRESS(ROW(V$112)-1+S112,COLUMN(V$112)),":",ADDRESS(ROW(V$112)+S112,COLUMN(V$112)))</f>
        <v>$V$112:$V$113</v>
      </c>
      <c r="AC112" s="48"/>
      <c r="AD112" s="48"/>
      <c r="AE112" s="48"/>
      <c r="AF112" s="48"/>
      <c r="AI112" s="51"/>
      <c r="AJ112" s="44"/>
      <c r="AK112" s="44"/>
      <c r="AN112" s="48"/>
      <c r="AO112" s="48"/>
      <c r="AP112" s="48"/>
      <c r="AQ112" s="48"/>
      <c r="AT112" s="51"/>
      <c r="AU112" s="44"/>
      <c r="AV112" s="44"/>
      <c r="AY112" s="48"/>
      <c r="AZ112" s="48"/>
      <c r="BA112" s="48"/>
      <c r="BB112" s="48"/>
      <c r="BP112" s="46"/>
      <c r="BQ112" s="52"/>
      <c r="BR112" s="54"/>
      <c r="BS112" s="44"/>
      <c r="BT112" s="44"/>
      <c r="BW112" s="48"/>
      <c r="BX112" s="48"/>
      <c r="BY112" s="48"/>
      <c r="BZ112" s="48"/>
      <c r="CB112" s="49"/>
      <c r="CC112" s="54"/>
      <c r="CD112" s="44"/>
      <c r="CE112" s="44"/>
      <c r="CH112" s="48"/>
      <c r="CI112" s="48"/>
      <c r="CJ112" s="48"/>
      <c r="CK112" s="48"/>
      <c r="CM112" s="49"/>
      <c r="CN112" s="54"/>
      <c r="CO112" s="44"/>
      <c r="CP112" s="44"/>
      <c r="CS112" s="48"/>
      <c r="CT112" s="48"/>
      <c r="CU112" s="48"/>
      <c r="CV112" s="48"/>
      <c r="CY112" s="54"/>
      <c r="CZ112" s="44"/>
      <c r="DA112" s="44"/>
      <c r="DD112" s="48"/>
      <c r="DE112" s="48"/>
      <c r="DF112" s="48"/>
      <c r="DG112" s="48"/>
      <c r="DI112" s="49"/>
    </row>
    <row r="113" spans="1:113" x14ac:dyDescent="0.25">
      <c r="A113" s="15">
        <v>11</v>
      </c>
      <c r="B113" s="98" t="s">
        <v>136</v>
      </c>
      <c r="C113" s="521">
        <f t="shared" ca="1" si="193"/>
        <v>1285.3231290912881</v>
      </c>
      <c r="D113" s="521">
        <f t="shared" ca="1" si="194"/>
        <v>767.24078221156549</v>
      </c>
      <c r="E113" s="521">
        <f t="shared" ca="1" si="195"/>
        <v>518.08234687972265</v>
      </c>
      <c r="F113" s="522">
        <f t="shared" ca="1" si="191"/>
        <v>0.60572381913402018</v>
      </c>
      <c r="G113" s="522">
        <f t="shared" ca="1" si="192"/>
        <v>0.32971811716972294</v>
      </c>
      <c r="H113" s="522" t="b">
        <f t="shared" ca="1" si="196"/>
        <v>0</v>
      </c>
      <c r="J113" s="15">
        <v>1</v>
      </c>
      <c r="K113" s="53">
        <v>-0.72668112798264639</v>
      </c>
      <c r="L113" s="47">
        <v>574.9260751355647</v>
      </c>
      <c r="M113" s="54">
        <v>7.4452516794622525</v>
      </c>
      <c r="N113" s="55">
        <v>1031.0996569365213</v>
      </c>
      <c r="O113" s="55">
        <f t="array" aca="1" ref="O113:O124" ca="1">IF((N113:N124&gt;=L113:L124)+(R87:R98&gt;0),1,0)</f>
        <v>1</v>
      </c>
      <c r="P113" s="50">
        <f t="shared" ca="1" si="197"/>
        <v>574.9260751355647</v>
      </c>
      <c r="Q113" s="534">
        <f ca="1">IF(O113=1,δ_0*(SLOPE(INDIRECT(VLOOKUP(S113,$S$112:$X$124,5,FALSE)),INDIRECT(VLOOKUP(S113,$S$112:$X$124,6,FALSE)))-SLOPE(INDIRECT(VLOOKUP(S113-1,$S$112:$X$124,5,FALSE)),INDIRECT(VLOOKUP(S113-1,$S$112:$X$124,6,FALSE)))),0)*86400*VLOOKUP($L$109,Aux!$AL$72:$AN$83,3,FALSE)</f>
        <v>2.670020106316689E-4</v>
      </c>
      <c r="R113" s="534">
        <f ca="1">IFERROR(IF(Q113+R87&lt;0,0,Q113+R87),0)</f>
        <v>5.3058633816837589E-4</v>
      </c>
      <c r="S113" s="535">
        <f t="array" aca="1" ref="S113" ca="1">SUM(IF(ISNUMBER(T$112:T113),1,0))+IF($J113&gt;Capas_VN_C1,1,0)</f>
        <v>2</v>
      </c>
      <c r="T113" s="50">
        <f t="shared" ref="T113:T124" ca="1" si="202">IF(O113=1,$L113,IF(J113=Capas_VN_C1,$N$129,NA()))</f>
        <v>574.9260751355647</v>
      </c>
      <c r="U113" s="50">
        <f t="shared" ca="1" si="198"/>
        <v>574.9260751355647</v>
      </c>
      <c r="V113" s="50">
        <f t="shared" ca="1" si="199"/>
        <v>5000</v>
      </c>
      <c r="W113" s="50" t="str">
        <f t="shared" ca="1" si="200"/>
        <v>$U$113:$U$114</v>
      </c>
      <c r="X113" s="214" t="str">
        <f t="shared" ca="1" si="201"/>
        <v>$V$113:$V$114</v>
      </c>
      <c r="AB113" s="51"/>
      <c r="AC113" s="51"/>
      <c r="AD113" s="51"/>
      <c r="AE113" s="48"/>
      <c r="AF113" s="48"/>
      <c r="AG113" s="50"/>
      <c r="AH113" s="50"/>
      <c r="AI113" s="51"/>
      <c r="AJ113" s="50"/>
      <c r="AK113" s="55"/>
      <c r="AL113" s="55"/>
      <c r="AM113" s="51"/>
      <c r="AN113" s="51"/>
      <c r="AO113" s="51"/>
      <c r="AP113" s="48"/>
      <c r="AQ113" s="48"/>
      <c r="AR113" s="50"/>
      <c r="AS113" s="50"/>
      <c r="AT113" s="51"/>
      <c r="AU113" s="50"/>
      <c r="AV113" s="55"/>
      <c r="AW113" s="55"/>
      <c r="AX113" s="50"/>
      <c r="AY113" s="51"/>
      <c r="AZ113" s="51"/>
      <c r="BA113" s="48"/>
      <c r="BB113" s="48"/>
      <c r="BC113" s="50"/>
      <c r="BD113" s="50"/>
      <c r="BP113" s="53"/>
      <c r="BQ113" s="52"/>
      <c r="BR113" s="54"/>
      <c r="BS113" s="50"/>
      <c r="BT113" s="55"/>
      <c r="BU113" s="55"/>
      <c r="BV113" s="51"/>
      <c r="BW113" s="51"/>
      <c r="BX113" s="51"/>
      <c r="BY113" s="48"/>
      <c r="BZ113" s="48"/>
      <c r="CA113" s="50"/>
      <c r="CB113" s="52"/>
      <c r="CC113" s="54"/>
      <c r="CD113" s="50"/>
      <c r="CE113" s="55"/>
      <c r="CF113" s="55"/>
      <c r="CG113" s="51"/>
      <c r="CH113" s="51"/>
      <c r="CI113" s="51"/>
      <c r="CJ113" s="48"/>
      <c r="CK113" s="48"/>
      <c r="CL113" s="50"/>
      <c r="CM113" s="52"/>
      <c r="CN113" s="54"/>
      <c r="CO113" s="50"/>
      <c r="CP113" s="55"/>
      <c r="CQ113" s="55"/>
      <c r="CR113" s="51"/>
      <c r="CS113" s="51"/>
      <c r="CT113" s="51"/>
      <c r="CU113" s="48"/>
      <c r="CV113" s="48"/>
      <c r="CW113" s="50"/>
      <c r="CX113" s="50"/>
      <c r="CY113" s="54"/>
      <c r="CZ113" s="50"/>
      <c r="DA113" s="55"/>
      <c r="DB113" s="55"/>
      <c r="DC113" s="50"/>
      <c r="DD113" s="51"/>
      <c r="DE113" s="51"/>
      <c r="DF113" s="48"/>
      <c r="DG113" s="48"/>
      <c r="DH113" s="50"/>
      <c r="DI113" s="52"/>
    </row>
    <row r="114" spans="1:113" x14ac:dyDescent="0.25">
      <c r="A114" s="15">
        <v>12</v>
      </c>
      <c r="B114" s="98" t="s">
        <v>137</v>
      </c>
      <c r="C114" s="521">
        <f t="shared" ca="1" si="193"/>
        <v>1191.8450833391944</v>
      </c>
      <c r="D114" s="521">
        <f t="shared" ca="1" si="194"/>
        <v>577.61779753445512</v>
      </c>
      <c r="E114" s="521">
        <f t="shared" ca="1" si="195"/>
        <v>614.22728580473927</v>
      </c>
      <c r="F114" s="522">
        <f t="shared" ca="1" si="191"/>
        <v>0.62772698313576814</v>
      </c>
      <c r="G114" s="522">
        <f t="shared" ca="1" si="192"/>
        <v>0.34920607755842553</v>
      </c>
      <c r="H114" s="522" t="b">
        <f t="shared" ca="1" si="196"/>
        <v>0</v>
      </c>
      <c r="J114" s="15">
        <v>2</v>
      </c>
      <c r="K114" s="53">
        <v>8.3839479392624732</v>
      </c>
      <c r="L114" s="47">
        <v>1100.5680546402664</v>
      </c>
      <c r="M114" s="54">
        <v>7.4688419804137576</v>
      </c>
      <c r="N114" s="55">
        <v>1032.7597509575085</v>
      </c>
      <c r="O114" s="55">
        <f ca="1"/>
        <v>0</v>
      </c>
      <c r="P114" s="50">
        <f t="shared" ca="1" si="197"/>
        <v>582.69418320706268</v>
      </c>
      <c r="Q114" s="534">
        <f ca="1">IF(O114=1,δ_0*(SLOPE(INDIRECT(VLOOKUP(S114,$S$112:$X$124,5,FALSE)),INDIRECT(VLOOKUP(S114,$S$112:$X$124,6,FALSE)))-SLOPE(INDIRECT(VLOOKUP(S114-1,$S$112:$X$124,5,FALSE)),INDIRECT(VLOOKUP(S114-1,$S$112:$X$124,6,FALSE)))),0)*86400*VLOOKUP($L$109,Aux!$AL$72:$AN$83,3,FALSE)</f>
        <v>0</v>
      </c>
      <c r="R114" s="534">
        <f t="shared" ref="R114:R124" ca="1" si="203">IFERROR(IF(Q114+R88&lt;0,0,Q114+R88),0)</f>
        <v>0</v>
      </c>
      <c r="S114" s="535">
        <f t="array" aca="1" ref="S114" ca="1">SUM(IF(ISNUMBER(T$112:T114),1,0))+IF($J114&gt;Capas_VN_C1,1,0)</f>
        <v>2</v>
      </c>
      <c r="T114" s="50" t="e">
        <f t="shared" ca="1" si="202"/>
        <v>#N/A</v>
      </c>
      <c r="U114" s="50">
        <f t="shared" ca="1" si="198"/>
        <v>1100.5680546402664</v>
      </c>
      <c r="V114" s="50">
        <f t="shared" ca="1" si="199"/>
        <v>6015</v>
      </c>
      <c r="W114" s="50" t="str">
        <f t="shared" ca="1" si="200"/>
        <v>$U$113:$U$114</v>
      </c>
      <c r="X114" s="214" t="str">
        <f t="shared" ca="1" si="201"/>
        <v>$V$113:$V$114</v>
      </c>
      <c r="AB114" s="51"/>
      <c r="AC114" s="51"/>
      <c r="AD114" s="51"/>
      <c r="AE114" s="48"/>
      <c r="AF114" s="48"/>
      <c r="AG114" s="50"/>
      <c r="AH114" s="50"/>
      <c r="AI114" s="51"/>
      <c r="AJ114" s="50"/>
      <c r="AK114" s="55"/>
      <c r="AL114" s="55"/>
      <c r="AM114" s="51"/>
      <c r="AN114" s="51"/>
      <c r="AO114" s="51"/>
      <c r="AP114" s="48"/>
      <c r="AQ114" s="48"/>
      <c r="AR114" s="50"/>
      <c r="AS114" s="50"/>
      <c r="AT114" s="51"/>
      <c r="AU114" s="50"/>
      <c r="AV114" s="55"/>
      <c r="AW114" s="55"/>
      <c r="AX114" s="50"/>
      <c r="AY114" s="51"/>
      <c r="AZ114" s="51"/>
      <c r="BA114" s="48"/>
      <c r="BB114" s="48"/>
      <c r="BC114" s="50"/>
      <c r="BD114" s="50"/>
      <c r="BP114" s="53"/>
      <c r="BQ114" s="52"/>
      <c r="BR114" s="54"/>
      <c r="BS114" s="50"/>
      <c r="BT114" s="55"/>
      <c r="BU114" s="55"/>
      <c r="BV114" s="51"/>
      <c r="BW114" s="51"/>
      <c r="BX114" s="51"/>
      <c r="BY114" s="48"/>
      <c r="BZ114" s="48"/>
      <c r="CA114" s="50"/>
      <c r="CB114" s="52"/>
      <c r="CC114" s="54"/>
      <c r="CD114" s="50"/>
      <c r="CE114" s="55"/>
      <c r="CF114" s="55"/>
      <c r="CG114" s="51"/>
      <c r="CH114" s="51"/>
      <c r="CI114" s="51"/>
      <c r="CJ114" s="48"/>
      <c r="CK114" s="48"/>
      <c r="CL114" s="50"/>
      <c r="CM114" s="52"/>
      <c r="CN114" s="54"/>
      <c r="CO114" s="50"/>
      <c r="CP114" s="55"/>
      <c r="CQ114" s="55"/>
      <c r="CR114" s="51"/>
      <c r="CS114" s="51"/>
      <c r="CT114" s="51"/>
      <c r="CU114" s="48"/>
      <c r="CV114" s="48"/>
      <c r="CW114" s="50"/>
      <c r="CX114" s="50"/>
      <c r="CY114" s="54"/>
      <c r="CZ114" s="50"/>
      <c r="DA114" s="55"/>
      <c r="DB114" s="55"/>
      <c r="DC114" s="50"/>
      <c r="DD114" s="51"/>
      <c r="DE114" s="51"/>
      <c r="DF114" s="48"/>
      <c r="DG114" s="48"/>
      <c r="DH114" s="50"/>
      <c r="DI114" s="52"/>
    </row>
    <row r="115" spans="1:113" x14ac:dyDescent="0.25">
      <c r="J115" s="15">
        <v>3</v>
      </c>
      <c r="K115" s="53">
        <v>8.3839479392624732</v>
      </c>
      <c r="L115" s="47">
        <v>1100.5680546402664</v>
      </c>
      <c r="M115" s="54">
        <v>8.9697065899638506</v>
      </c>
      <c r="N115" s="55">
        <v>1143.4326856899922</v>
      </c>
      <c r="O115" s="55">
        <f ca="1"/>
        <v>1</v>
      </c>
      <c r="P115" s="50">
        <f t="shared" ca="1" si="197"/>
        <v>1100.5680546402664</v>
      </c>
      <c r="Q115" s="534">
        <f ca="1">IF(O115=1,δ_0*(SLOPE(INDIRECT(VLOOKUP(S115,$S$112:$X$124,5,FALSE)),INDIRECT(VLOOKUP(S115,$S$112:$X$124,6,FALSE)))-SLOPE(INDIRECT(VLOOKUP(S115-1,$S$112:$X$124,5,FALSE)),INDIRECT(VLOOKUP(S115-1,$S$112:$X$124,6,FALSE)))),0)*86400*VLOOKUP($L$109,Aux!$AL$72:$AN$83,3,FALSE)</f>
        <v>1.3005032451327474E-3</v>
      </c>
      <c r="R115" s="534">
        <f t="shared" ca="1" si="203"/>
        <v>1.3005032451327474E-3</v>
      </c>
      <c r="S115" s="535">
        <f t="array" aca="1" ref="S115" ca="1">SUM(IF(ISNUMBER(T$112:T115),1,0))+IF($J115&gt;Capas_VN_C1,1,0)</f>
        <v>3</v>
      </c>
      <c r="T115" s="50">
        <f t="shared" ca="1" si="202"/>
        <v>1100.5680546402664</v>
      </c>
      <c r="U115" s="50">
        <f t="shared" ca="1" si="198"/>
        <v>1145.1060604631475</v>
      </c>
      <c r="V115" s="50">
        <f t="shared" ca="1" si="199"/>
        <v>6030.12</v>
      </c>
      <c r="W115" s="50" t="str">
        <f t="shared" ca="1" si="200"/>
        <v>$U$114:$U$115</v>
      </c>
      <c r="X115" s="214" t="str">
        <f t="shared" ca="1" si="201"/>
        <v>$V$114:$V$115</v>
      </c>
      <c r="AB115" s="51"/>
      <c r="AC115" s="51"/>
      <c r="AD115" s="51"/>
      <c r="AE115" s="48"/>
      <c r="AF115" s="48"/>
      <c r="AG115" s="50"/>
      <c r="AH115" s="50"/>
      <c r="AI115" s="51"/>
      <c r="AJ115" s="50"/>
      <c r="AK115" s="55"/>
      <c r="AL115" s="55"/>
      <c r="AM115" s="51"/>
      <c r="AN115" s="51"/>
      <c r="AO115" s="51"/>
      <c r="AP115" s="48"/>
      <c r="AQ115" s="48"/>
      <c r="AR115" s="50"/>
      <c r="AS115" s="50"/>
      <c r="AT115" s="51"/>
      <c r="AU115" s="50"/>
      <c r="AV115" s="55"/>
      <c r="AW115" s="55"/>
      <c r="AX115" s="50"/>
      <c r="AY115" s="51"/>
      <c r="AZ115" s="51"/>
      <c r="BA115" s="48"/>
      <c r="BB115" s="48"/>
      <c r="BC115" s="50"/>
      <c r="BD115" s="50"/>
      <c r="BP115" s="53"/>
      <c r="BQ115" s="52"/>
      <c r="BR115" s="54"/>
      <c r="BS115" s="50"/>
      <c r="BT115" s="55"/>
      <c r="BU115" s="55"/>
      <c r="BV115" s="51"/>
      <c r="BW115" s="51"/>
      <c r="BX115" s="51"/>
      <c r="BY115" s="48"/>
      <c r="BZ115" s="48"/>
      <c r="CA115" s="50"/>
      <c r="CB115" s="52"/>
      <c r="CC115" s="54"/>
      <c r="CD115" s="50"/>
      <c r="CE115" s="55"/>
      <c r="CF115" s="55"/>
      <c r="CG115" s="51"/>
      <c r="CH115" s="51"/>
      <c r="CI115" s="51"/>
      <c r="CJ115" s="48"/>
      <c r="CK115" s="48"/>
      <c r="CL115" s="50"/>
      <c r="CM115" s="52"/>
      <c r="CN115" s="54"/>
      <c r="CO115" s="50"/>
      <c r="CP115" s="55"/>
      <c r="CQ115" s="55"/>
      <c r="CR115" s="51"/>
      <c r="CS115" s="51"/>
      <c r="CT115" s="51"/>
      <c r="CU115" s="48"/>
      <c r="CV115" s="48"/>
      <c r="CW115" s="50"/>
      <c r="CX115" s="50"/>
      <c r="CY115" s="54"/>
      <c r="CZ115" s="50"/>
      <c r="DA115" s="55"/>
      <c r="DB115" s="55"/>
      <c r="DC115" s="50"/>
      <c r="DD115" s="51"/>
      <c r="DE115" s="51"/>
      <c r="DF115" s="48"/>
      <c r="DG115" s="48"/>
      <c r="DH115" s="50"/>
      <c r="DI115" s="52"/>
    </row>
    <row r="116" spans="1:113" x14ac:dyDescent="0.25">
      <c r="B116" s="15">
        <v>6</v>
      </c>
      <c r="C116" s="677" t="s">
        <v>802</v>
      </c>
      <c r="D116" s="677"/>
      <c r="E116" s="677"/>
      <c r="F116" s="677"/>
      <c r="G116" s="677"/>
      <c r="H116" s="677"/>
      <c r="J116" s="15">
        <v>4</v>
      </c>
      <c r="K116" s="53">
        <v>19.468546637744033</v>
      </c>
      <c r="L116" s="47">
        <v>2261.1702729905792</v>
      </c>
      <c r="M116" s="54">
        <v>8.9912123840787235</v>
      </c>
      <c r="N116" s="55">
        <v>1145.0927797109796</v>
      </c>
      <c r="O116" s="55">
        <f ca="1"/>
        <v>0</v>
      </c>
      <c r="P116" s="50">
        <f t="shared" ca="1" si="197"/>
        <v>1144.7525842264622</v>
      </c>
      <c r="Q116" s="534">
        <f ca="1">IF(O116=1,δ_0*(SLOPE(INDIRECT(VLOOKUP(S116,$S$112:$X$124,5,FALSE)),INDIRECT(VLOOKUP(S116,$S$112:$X$124,6,FALSE)))-SLOPE(INDIRECT(VLOOKUP(S116-1,$S$112:$X$124,5,FALSE)),INDIRECT(VLOOKUP(S116-1,$S$112:$X$124,6,FALSE)))),0)*86400*VLOOKUP($L$109,Aux!$AL$72:$AN$83,3,FALSE)</f>
        <v>0</v>
      </c>
      <c r="R116" s="534">
        <f t="shared" ca="1" si="203"/>
        <v>0</v>
      </c>
      <c r="S116" s="535">
        <f t="array" aca="1" ref="S116" ca="1">SUM(IF(ISNUMBER(T$112:T116),1,0))+IF($J116&gt;Capas_VN_C1,1,0)</f>
        <v>3</v>
      </c>
      <c r="T116" s="50" t="e">
        <f t="shared" ca="1" si="202"/>
        <v>#N/A</v>
      </c>
      <c r="U116" s="50" t="e">
        <f t="shared" ca="1" si="198"/>
        <v>#N/A</v>
      </c>
      <c r="V116" s="50" t="e">
        <f t="shared" ca="1" si="199"/>
        <v>#N/A</v>
      </c>
      <c r="W116" s="50" t="str">
        <f t="shared" ca="1" si="200"/>
        <v>$U$114:$U$115</v>
      </c>
      <c r="X116" s="214" t="str">
        <f t="shared" ca="1" si="201"/>
        <v>$V$114:$V$115</v>
      </c>
      <c r="AB116" s="51"/>
      <c r="AC116" s="51"/>
      <c r="AD116" s="51"/>
      <c r="AE116" s="48"/>
      <c r="AF116" s="48"/>
      <c r="AG116" s="50"/>
      <c r="AH116" s="50"/>
      <c r="AI116" s="51"/>
      <c r="AJ116" s="50"/>
      <c r="AK116" s="55"/>
      <c r="AL116" s="55"/>
      <c r="AM116" s="51"/>
      <c r="AN116" s="51"/>
      <c r="AO116" s="51"/>
      <c r="AP116" s="48"/>
      <c r="AQ116" s="48"/>
      <c r="AR116" s="50"/>
      <c r="AS116" s="50"/>
      <c r="AT116" s="51"/>
      <c r="AU116" s="50"/>
      <c r="AV116" s="55"/>
      <c r="AW116" s="55"/>
      <c r="AX116" s="50"/>
      <c r="AY116" s="51"/>
      <c r="AZ116" s="51"/>
      <c r="BA116" s="48"/>
      <c r="BB116" s="48"/>
      <c r="BC116" s="50"/>
      <c r="BD116" s="50"/>
      <c r="BP116" s="53"/>
      <c r="BQ116" s="52"/>
      <c r="BR116" s="54"/>
      <c r="BS116" s="50"/>
      <c r="BT116" s="55"/>
      <c r="BU116" s="55"/>
      <c r="BV116" s="51"/>
      <c r="BW116" s="51"/>
      <c r="BX116" s="51"/>
      <c r="BY116" s="48"/>
      <c r="BZ116" s="48"/>
      <c r="CA116" s="50"/>
      <c r="CB116" s="52"/>
      <c r="CC116" s="54"/>
      <c r="CD116" s="50"/>
      <c r="CE116" s="55"/>
      <c r="CF116" s="55"/>
      <c r="CG116" s="51"/>
      <c r="CH116" s="51"/>
      <c r="CI116" s="51"/>
      <c r="CJ116" s="48"/>
      <c r="CK116" s="48"/>
      <c r="CL116" s="50"/>
      <c r="CM116" s="52"/>
      <c r="CN116" s="54"/>
      <c r="CO116" s="50"/>
      <c r="CP116" s="55"/>
      <c r="CQ116" s="55"/>
      <c r="CR116" s="51"/>
      <c r="CS116" s="51"/>
      <c r="CT116" s="51"/>
      <c r="CU116" s="48"/>
      <c r="CV116" s="48"/>
      <c r="CW116" s="50"/>
      <c r="CX116" s="50"/>
      <c r="CY116" s="54"/>
      <c r="CZ116" s="50"/>
      <c r="DA116" s="55"/>
      <c r="DB116" s="55"/>
      <c r="DC116" s="50"/>
      <c r="DD116" s="51"/>
      <c r="DE116" s="51"/>
      <c r="DF116" s="48"/>
      <c r="DG116" s="48"/>
      <c r="DH116" s="50"/>
      <c r="DI116" s="52"/>
    </row>
    <row r="117" spans="1:113" x14ac:dyDescent="0.25">
      <c r="B117" s="518" t="s">
        <v>798</v>
      </c>
      <c r="C117" s="503" t="s">
        <v>784</v>
      </c>
      <c r="D117" s="503" t="s">
        <v>785</v>
      </c>
      <c r="E117" s="503" t="s">
        <v>786</v>
      </c>
      <c r="F117" s="503" t="s">
        <v>787</v>
      </c>
      <c r="G117" s="503" t="s">
        <v>788</v>
      </c>
      <c r="H117" s="503" t="s">
        <v>789</v>
      </c>
      <c r="J117" s="15">
        <v>5</v>
      </c>
      <c r="K117" s="53">
        <v>19.696312364425165</v>
      </c>
      <c r="L117" s="47">
        <v>2293.3804337364586</v>
      </c>
      <c r="M117" s="54">
        <v>8.9913843180333117</v>
      </c>
      <c r="N117" s="55">
        <v>1145.1060604631475</v>
      </c>
      <c r="O117" s="55">
        <f ca="1"/>
        <v>0</v>
      </c>
      <c r="P117" s="50">
        <f t="shared" ca="1" si="197"/>
        <v>1145.1060604631475</v>
      </c>
      <c r="Q117" s="534">
        <f ca="1">IF(O117=1,δ_0*(SLOPE(INDIRECT(VLOOKUP(S117,$S$112:$X$124,5,FALSE)),INDIRECT(VLOOKUP(S117,$S$112:$X$124,6,FALSE)))-SLOPE(INDIRECT(VLOOKUP(S117-1,$S$112:$X$124,5,FALSE)),INDIRECT(VLOOKUP(S117-1,$S$112:$X$124,6,FALSE)))),0)*86400*VLOOKUP($L$109,Aux!$AL$72:$AN$83,3,FALSE)</f>
        <v>0</v>
      </c>
      <c r="R117" s="534">
        <f t="shared" ca="1" si="203"/>
        <v>0</v>
      </c>
      <c r="S117" s="535">
        <f t="array" aca="1" ref="S117" ca="1">SUM(IF(ISNUMBER(T$112:T117),1,0))+IF($J117&gt;Capas_VN_C1,1,0)</f>
        <v>4</v>
      </c>
      <c r="T117" s="50">
        <f t="shared" ca="1" si="202"/>
        <v>1145.1060604631475</v>
      </c>
      <c r="U117" s="50" t="e">
        <f t="shared" ca="1" si="198"/>
        <v>#N/A</v>
      </c>
      <c r="V117" s="50" t="e">
        <f t="shared" ca="1" si="199"/>
        <v>#N/A</v>
      </c>
      <c r="W117" s="50" t="str">
        <f t="shared" ca="1" si="200"/>
        <v>$U$115:$U$116</v>
      </c>
      <c r="X117" s="214" t="str">
        <f t="shared" ca="1" si="201"/>
        <v>$V$115:$V$116</v>
      </c>
      <c r="AB117" s="51"/>
      <c r="AC117" s="51"/>
      <c r="AD117" s="51"/>
      <c r="AE117" s="48"/>
      <c r="AF117" s="48"/>
      <c r="AG117" s="50"/>
      <c r="AH117" s="50"/>
      <c r="AI117" s="51"/>
      <c r="AJ117" s="50"/>
      <c r="AK117" s="55"/>
      <c r="AL117" s="55"/>
      <c r="AM117" s="51"/>
      <c r="AN117" s="51"/>
      <c r="AO117" s="51"/>
      <c r="AP117" s="48"/>
      <c r="AQ117" s="48"/>
      <c r="AR117" s="50"/>
      <c r="AS117" s="50"/>
      <c r="AT117" s="51"/>
      <c r="AU117" s="50"/>
      <c r="AV117" s="55"/>
      <c r="AW117" s="55"/>
      <c r="AX117" s="50"/>
      <c r="AY117" s="51"/>
      <c r="AZ117" s="51"/>
      <c r="BA117" s="48"/>
      <c r="BB117" s="48"/>
      <c r="BC117" s="50"/>
      <c r="BD117" s="50"/>
      <c r="BP117" s="53"/>
      <c r="BQ117" s="52"/>
      <c r="BR117" s="54"/>
      <c r="BS117" s="50"/>
      <c r="BT117" s="55"/>
      <c r="BU117" s="55"/>
      <c r="BV117" s="51"/>
      <c r="BW117" s="51"/>
      <c r="BX117" s="51"/>
      <c r="BY117" s="48"/>
      <c r="BZ117" s="48"/>
      <c r="CA117" s="50"/>
      <c r="CB117" s="52"/>
      <c r="CC117" s="54"/>
      <c r="CD117" s="50"/>
      <c r="CE117" s="55"/>
      <c r="CF117" s="55"/>
      <c r="CG117" s="51"/>
      <c r="CH117" s="51"/>
      <c r="CI117" s="51"/>
      <c r="CJ117" s="48"/>
      <c r="CK117" s="48"/>
      <c r="CL117" s="50"/>
      <c r="CM117" s="52"/>
      <c r="CN117" s="54"/>
      <c r="CO117" s="50"/>
      <c r="CP117" s="55"/>
      <c r="CQ117" s="55"/>
      <c r="CR117" s="51"/>
      <c r="CS117" s="51"/>
      <c r="CT117" s="51"/>
      <c r="CU117" s="48"/>
      <c r="CV117" s="48"/>
      <c r="CW117" s="50"/>
      <c r="CX117" s="50"/>
      <c r="CY117" s="54"/>
      <c r="CZ117" s="50"/>
      <c r="DA117" s="55"/>
      <c r="DB117" s="55"/>
      <c r="DC117" s="50"/>
      <c r="DD117" s="51"/>
      <c r="DE117" s="51"/>
      <c r="DF117" s="48"/>
      <c r="DG117" s="48"/>
      <c r="DH117" s="50"/>
      <c r="DI117" s="52"/>
    </row>
    <row r="118" spans="1:113" x14ac:dyDescent="0.25">
      <c r="A118" s="15">
        <v>1</v>
      </c>
      <c r="B118" s="98" t="str">
        <f ca="1">CHOOSE(INDIRECT("L"&amp;83+(A118-1)*26),"Enero","Febrero","Marzo","Abril","Mayo","Junio","Julio","Agosto","Septiembre","Octubre","Noviembre","Diciembre")</f>
        <v>Diciembre</v>
      </c>
      <c r="C118" s="545">
        <f t="array" aca="1" ref="C118:H118" ca="1">IFERROR(ROUND(TRANSPOSE(Q87:Q92),$B$116),0)</f>
        <v>2.6400000000000002E-4</v>
      </c>
      <c r="D118" s="545">
        <f ca="1"/>
        <v>0</v>
      </c>
      <c r="E118" s="545">
        <f ca="1"/>
        <v>-6.7000000000000002E-5</v>
      </c>
      <c r="F118" s="545">
        <f ca="1"/>
        <v>0</v>
      </c>
      <c r="G118" s="545">
        <f ca="1"/>
        <v>0</v>
      </c>
      <c r="H118" s="545">
        <f ca="1"/>
        <v>0</v>
      </c>
      <c r="J118" s="15">
        <v>6</v>
      </c>
      <c r="K118" s="53">
        <v>20</v>
      </c>
      <c r="L118" s="47">
        <v>2336.9511438023419</v>
      </c>
      <c r="M118" s="54" t="e">
        <v>#N/A</v>
      </c>
      <c r="N118" s="55" t="e">
        <v>#N/A</v>
      </c>
      <c r="O118" s="55" t="e">
        <f ca="1"/>
        <v>#N/A</v>
      </c>
      <c r="P118" s="50" t="e">
        <f t="shared" ca="1" si="197"/>
        <v>#N/A</v>
      </c>
      <c r="Q118" s="534" t="e">
        <f ca="1">IF(O118=1,δ_0*(SLOPE(INDIRECT(VLOOKUP(S118,$S$112:$X$124,5,FALSE)),INDIRECT(VLOOKUP(S118,$S$112:$X$124,6,FALSE)))-SLOPE(INDIRECT(VLOOKUP(S118-1,$S$112:$X$124,5,FALSE)),INDIRECT(VLOOKUP(S118-1,$S$112:$X$124,6,FALSE)))),0)*86400*VLOOKUP($L$109,Aux!$AL$72:$AN$83,3,FALSE)</f>
        <v>#N/A</v>
      </c>
      <c r="R118" s="534">
        <f t="shared" ca="1" si="203"/>
        <v>0</v>
      </c>
      <c r="S118" s="535">
        <f t="array" aca="1" ref="S118" ca="1">SUM(IF(ISNUMBER(T$112:T118),1,0))+IF($J118&gt;Capas_VN_C1,1,0)</f>
        <v>5</v>
      </c>
      <c r="T118" s="50" t="e">
        <f t="shared" ca="1" si="202"/>
        <v>#N/A</v>
      </c>
      <c r="U118" s="50" t="e">
        <f t="shared" ca="1" si="198"/>
        <v>#N/A</v>
      </c>
      <c r="V118" s="50" t="e">
        <f t="shared" ca="1" si="199"/>
        <v>#N/A</v>
      </c>
      <c r="W118" s="50" t="str">
        <f t="shared" ca="1" si="200"/>
        <v>$U$116:$U$117</v>
      </c>
      <c r="X118" s="214" t="str">
        <f t="shared" ca="1" si="201"/>
        <v>$V$116:$V$117</v>
      </c>
      <c r="AB118" s="51"/>
      <c r="AC118" s="51"/>
      <c r="AD118" s="51"/>
      <c r="AE118" s="48"/>
      <c r="AF118" s="48"/>
      <c r="AG118" s="50"/>
      <c r="AH118" s="50"/>
      <c r="AI118" s="51"/>
      <c r="AJ118" s="50"/>
      <c r="AK118" s="55"/>
      <c r="AL118" s="55"/>
      <c r="AM118" s="51"/>
      <c r="AN118" s="51"/>
      <c r="AO118" s="51"/>
      <c r="AP118" s="48"/>
      <c r="AQ118" s="48"/>
      <c r="AR118" s="50"/>
      <c r="AS118" s="50"/>
      <c r="AT118" s="51"/>
      <c r="AU118" s="50"/>
      <c r="AV118" s="55"/>
      <c r="AW118" s="55"/>
      <c r="AX118" s="50"/>
      <c r="AY118" s="51"/>
      <c r="AZ118" s="51"/>
      <c r="BA118" s="48"/>
      <c r="BB118" s="48"/>
      <c r="BC118" s="50"/>
      <c r="BD118" s="50"/>
      <c r="BP118" s="53"/>
      <c r="BQ118" s="52"/>
      <c r="BR118" s="54"/>
      <c r="BS118" s="50"/>
      <c r="BT118" s="55"/>
      <c r="BU118" s="55"/>
      <c r="BV118" s="51"/>
      <c r="BW118" s="51"/>
      <c r="BX118" s="51"/>
      <c r="BY118" s="48"/>
      <c r="BZ118" s="48"/>
      <c r="CA118" s="50"/>
      <c r="CB118" s="52"/>
      <c r="CC118" s="54"/>
      <c r="CD118" s="50"/>
      <c r="CE118" s="55"/>
      <c r="CF118" s="55"/>
      <c r="CG118" s="51"/>
      <c r="CH118" s="51"/>
      <c r="CI118" s="51"/>
      <c r="CJ118" s="48"/>
      <c r="CK118" s="48"/>
      <c r="CL118" s="50"/>
      <c r="CM118" s="52"/>
      <c r="CN118" s="54"/>
      <c r="CO118" s="50"/>
      <c r="CP118" s="55"/>
      <c r="CQ118" s="55"/>
      <c r="CR118" s="51"/>
      <c r="CS118" s="51"/>
      <c r="CT118" s="51"/>
      <c r="CU118" s="48"/>
      <c r="CV118" s="48"/>
      <c r="CW118" s="50"/>
      <c r="CX118" s="50"/>
      <c r="CY118" s="54"/>
      <c r="CZ118" s="50"/>
      <c r="DA118" s="55"/>
      <c r="DB118" s="55"/>
      <c r="DC118" s="50"/>
      <c r="DD118" s="51"/>
      <c r="DE118" s="51"/>
      <c r="DF118" s="48"/>
      <c r="DG118" s="48"/>
      <c r="DH118" s="50"/>
      <c r="DI118" s="52"/>
    </row>
    <row r="119" spans="1:113" x14ac:dyDescent="0.25">
      <c r="A119" s="15">
        <v>2</v>
      </c>
      <c r="B119" s="98" t="str">
        <f t="shared" ref="B119:B142" ca="1" si="204">CHOOSE(INDIRECT("L"&amp;83+(A119-1)*26),"Enero","Febrero","Marzo","Abril","Mayo","Junio","Julio","Agosto","Septiembre","Octubre","Noviembre","Diciembre")</f>
        <v>Enero</v>
      </c>
      <c r="C119" s="545">
        <f t="array" aca="1" ref="C119:H119" ca="1">IFERROR(ROUND(TRANSPOSE(Q113:Q118),$B$116),0)</f>
        <v>2.6699999999999998E-4</v>
      </c>
      <c r="D119" s="545">
        <f ca="1"/>
        <v>0</v>
      </c>
      <c r="E119" s="545">
        <f ca="1"/>
        <v>1.3010000000000001E-3</v>
      </c>
      <c r="F119" s="545">
        <f ca="1"/>
        <v>0</v>
      </c>
      <c r="G119" s="545">
        <f ca="1"/>
        <v>0</v>
      </c>
      <c r="H119" s="545">
        <f ca="1"/>
        <v>0</v>
      </c>
      <c r="J119" s="15">
        <v>7</v>
      </c>
      <c r="K119" s="53" t="e">
        <v>#N/A</v>
      </c>
      <c r="L119" s="47" t="e">
        <v>#N/A</v>
      </c>
      <c r="M119" s="54" t="e">
        <v>#N/A</v>
      </c>
      <c r="N119" s="55" t="e">
        <v>#N/A</v>
      </c>
      <c r="O119" s="55" t="e">
        <f ca="1"/>
        <v>#N/A</v>
      </c>
      <c r="P119" s="50" t="e">
        <f t="shared" ca="1" si="197"/>
        <v>#N/A</v>
      </c>
      <c r="Q119" s="534" t="e">
        <f ca="1">IF(O119=1,δ_0*(SLOPE(INDIRECT(VLOOKUP(S119,$S$112:$X$124,5,FALSE)),INDIRECT(VLOOKUP(S119,$S$112:$X$124,6,FALSE)))-SLOPE(INDIRECT(VLOOKUP(S119-1,$S$112:$X$124,5,FALSE)),INDIRECT(VLOOKUP(S119-1,$S$112:$X$124,6,FALSE)))),0)*86400*VLOOKUP($L$109,Aux!$AL$72:$AN$83,3,FALSE)</f>
        <v>#N/A</v>
      </c>
      <c r="R119" s="534">
        <f t="shared" ca="1" si="203"/>
        <v>0</v>
      </c>
      <c r="S119" s="535">
        <f t="array" aca="1" ref="S119" ca="1">SUM(IF(ISNUMBER(T$112:T119),1,0))+IF($J119&gt;Capas_VN_C1,1,0)</f>
        <v>5</v>
      </c>
      <c r="T119" s="50" t="e">
        <f t="shared" ca="1" si="202"/>
        <v>#N/A</v>
      </c>
      <c r="U119" s="50" t="e">
        <f t="shared" ca="1" si="198"/>
        <v>#N/A</v>
      </c>
      <c r="V119" s="50" t="e">
        <f t="shared" ca="1" si="199"/>
        <v>#N/A</v>
      </c>
      <c r="W119" s="50" t="str">
        <f t="shared" ca="1" si="200"/>
        <v>$U$116:$U$117</v>
      </c>
      <c r="X119" s="214" t="str">
        <f t="shared" ca="1" si="201"/>
        <v>$V$116:$V$117</v>
      </c>
      <c r="AB119" s="51"/>
      <c r="AC119" s="51"/>
      <c r="AD119" s="51"/>
      <c r="AE119" s="48"/>
      <c r="AF119" s="48"/>
      <c r="AG119" s="50"/>
      <c r="AH119" s="50"/>
      <c r="AI119" s="51"/>
      <c r="AJ119" s="50"/>
      <c r="AK119" s="55"/>
      <c r="AL119" s="55"/>
      <c r="AM119" s="51"/>
      <c r="AN119" s="51"/>
      <c r="AO119" s="51"/>
      <c r="AP119" s="48"/>
      <c r="AQ119" s="48"/>
      <c r="AR119" s="50"/>
      <c r="AS119" s="50"/>
      <c r="AT119" s="51"/>
      <c r="AU119" s="50"/>
      <c r="AV119" s="55"/>
      <c r="AW119" s="55"/>
      <c r="AX119" s="50"/>
      <c r="AY119" s="51"/>
      <c r="AZ119" s="51"/>
      <c r="BA119" s="48"/>
      <c r="BB119" s="48"/>
      <c r="BC119" s="50"/>
      <c r="BD119" s="50"/>
      <c r="BP119" s="53"/>
      <c r="BQ119" s="52"/>
      <c r="BR119" s="54"/>
      <c r="BS119" s="50"/>
      <c r="BT119" s="55"/>
      <c r="BU119" s="55"/>
      <c r="BV119" s="51"/>
      <c r="BW119" s="51"/>
      <c r="BX119" s="51"/>
      <c r="BY119" s="48"/>
      <c r="BZ119" s="48"/>
      <c r="CA119" s="50"/>
      <c r="CB119" s="52"/>
      <c r="CC119" s="54"/>
      <c r="CD119" s="50"/>
      <c r="CE119" s="55"/>
      <c r="CF119" s="55"/>
      <c r="CG119" s="51"/>
      <c r="CH119" s="51"/>
      <c r="CI119" s="51"/>
      <c r="CJ119" s="48"/>
      <c r="CK119" s="48"/>
      <c r="CL119" s="50"/>
      <c r="CM119" s="52"/>
      <c r="CN119" s="54"/>
      <c r="CO119" s="50"/>
      <c r="CP119" s="55"/>
      <c r="CQ119" s="55"/>
      <c r="CR119" s="51"/>
      <c r="CS119" s="51"/>
      <c r="CT119" s="51"/>
      <c r="CU119" s="48"/>
      <c r="CV119" s="48"/>
      <c r="CW119" s="50"/>
      <c r="CX119" s="50"/>
      <c r="CY119" s="54"/>
      <c r="CZ119" s="50"/>
      <c r="DA119" s="55"/>
      <c r="DB119" s="55"/>
      <c r="DC119" s="50"/>
      <c r="DD119" s="51"/>
      <c r="DE119" s="51"/>
      <c r="DF119" s="48"/>
      <c r="DG119" s="48"/>
      <c r="DH119" s="50"/>
      <c r="DI119" s="52"/>
    </row>
    <row r="120" spans="1:113" x14ac:dyDescent="0.25">
      <c r="A120" s="15">
        <v>3</v>
      </c>
      <c r="B120" s="98" t="str">
        <f t="shared" ca="1" si="204"/>
        <v>Febrero</v>
      </c>
      <c r="C120" s="545">
        <f t="array" aca="1" ref="C120:H120" ca="1">IFERROR(ROUND(TRANSPOSE(Q139:Q144),$B$116),0)</f>
        <v>2.3800000000000001E-4</v>
      </c>
      <c r="D120" s="545">
        <f ca="1"/>
        <v>0</v>
      </c>
      <c r="E120" s="545">
        <f ca="1"/>
        <v>5.8E-4</v>
      </c>
      <c r="F120" s="545">
        <f ca="1"/>
        <v>0</v>
      </c>
      <c r="G120" s="545">
        <f ca="1"/>
        <v>0</v>
      </c>
      <c r="H120" s="545">
        <f ca="1"/>
        <v>0</v>
      </c>
      <c r="J120" s="15">
        <v>8</v>
      </c>
      <c r="K120" s="53" t="e">
        <v>#N/A</v>
      </c>
      <c r="L120" s="47" t="e">
        <v>#N/A</v>
      </c>
      <c r="M120" s="54" t="e">
        <v>#N/A</v>
      </c>
      <c r="N120" s="55" t="e">
        <v>#N/A</v>
      </c>
      <c r="O120" s="55" t="e">
        <f ca="1"/>
        <v>#N/A</v>
      </c>
      <c r="P120" s="50" t="e">
        <f t="shared" ca="1" si="197"/>
        <v>#N/A</v>
      </c>
      <c r="Q120" s="534" t="e">
        <f ca="1">IF(O120=1,δ_0*(SLOPE(INDIRECT(VLOOKUP(S120,$S$112:$X$124,5,FALSE)),INDIRECT(VLOOKUP(S120,$S$112:$X$124,6,FALSE)))-SLOPE(INDIRECT(VLOOKUP(S120-1,$S$112:$X$124,5,FALSE)),INDIRECT(VLOOKUP(S120-1,$S$112:$X$124,6,FALSE)))),0)*86400*VLOOKUP($L$109,Aux!$AL$72:$AN$83,3,FALSE)</f>
        <v>#N/A</v>
      </c>
      <c r="R120" s="534">
        <f t="shared" ca="1" si="203"/>
        <v>0</v>
      </c>
      <c r="S120" s="535">
        <f t="array" aca="1" ref="S120" ca="1">SUM(IF(ISNUMBER(T$112:T120),1,0))+IF($J120&gt;Capas_VN_C1,1,0)</f>
        <v>5</v>
      </c>
      <c r="T120" s="50" t="e">
        <f t="shared" ca="1" si="202"/>
        <v>#N/A</v>
      </c>
      <c r="U120" s="50" t="e">
        <f t="shared" ca="1" si="198"/>
        <v>#N/A</v>
      </c>
      <c r="V120" s="50" t="e">
        <f t="shared" ca="1" si="199"/>
        <v>#N/A</v>
      </c>
      <c r="W120" s="50" t="str">
        <f t="shared" ca="1" si="200"/>
        <v>$U$116:$U$117</v>
      </c>
      <c r="X120" s="214" t="str">
        <f t="shared" ca="1" si="201"/>
        <v>$V$116:$V$117</v>
      </c>
      <c r="AB120" s="51"/>
      <c r="AC120" s="51"/>
      <c r="AD120" s="51"/>
      <c r="AE120" s="48"/>
      <c r="AF120" s="48"/>
      <c r="AG120" s="50"/>
      <c r="AH120" s="50"/>
      <c r="AI120" s="51"/>
      <c r="AJ120" s="50"/>
      <c r="AK120" s="55"/>
      <c r="AL120" s="55"/>
      <c r="AM120" s="51"/>
      <c r="AN120" s="51"/>
      <c r="AO120" s="51"/>
      <c r="AP120" s="48"/>
      <c r="AQ120" s="48"/>
      <c r="AR120" s="50"/>
      <c r="AS120" s="50"/>
      <c r="AT120" s="51"/>
      <c r="AU120" s="50"/>
      <c r="AV120" s="55"/>
      <c r="AW120" s="55"/>
      <c r="AX120" s="50"/>
      <c r="AY120" s="51"/>
      <c r="AZ120" s="51"/>
      <c r="BA120" s="48"/>
      <c r="BB120" s="48"/>
      <c r="BC120" s="50"/>
      <c r="BD120" s="50"/>
      <c r="BP120" s="53"/>
      <c r="BQ120" s="52"/>
      <c r="BR120" s="54"/>
      <c r="BS120" s="50"/>
      <c r="BT120" s="55"/>
      <c r="BU120" s="55"/>
      <c r="BV120" s="51"/>
      <c r="BW120" s="51"/>
      <c r="BX120" s="51"/>
      <c r="BY120" s="48"/>
      <c r="BZ120" s="48"/>
      <c r="CA120" s="50"/>
      <c r="CB120" s="52"/>
      <c r="CC120" s="54"/>
      <c r="CD120" s="50"/>
      <c r="CE120" s="55"/>
      <c r="CF120" s="55"/>
      <c r="CG120" s="51"/>
      <c r="CH120" s="51"/>
      <c r="CI120" s="51"/>
      <c r="CJ120" s="48"/>
      <c r="CK120" s="48"/>
      <c r="CL120" s="50"/>
      <c r="CM120" s="52"/>
      <c r="CN120" s="54"/>
      <c r="CO120" s="50"/>
      <c r="CP120" s="55"/>
      <c r="CQ120" s="55"/>
      <c r="CR120" s="51"/>
      <c r="CS120" s="51"/>
      <c r="CT120" s="51"/>
      <c r="CU120" s="48"/>
      <c r="CV120" s="48"/>
      <c r="CW120" s="50"/>
      <c r="CX120" s="50"/>
      <c r="CY120" s="54"/>
      <c r="CZ120" s="50"/>
      <c r="DA120" s="55"/>
      <c r="DB120" s="55"/>
      <c r="DC120" s="50"/>
      <c r="DD120" s="51"/>
      <c r="DE120" s="51"/>
      <c r="DF120" s="48"/>
      <c r="DG120" s="48"/>
      <c r="DH120" s="50"/>
      <c r="DI120" s="52"/>
    </row>
    <row r="121" spans="1:113" x14ac:dyDescent="0.25">
      <c r="A121" s="15">
        <v>4</v>
      </c>
      <c r="B121" s="98" t="str">
        <f t="shared" ca="1" si="204"/>
        <v>Marzo</v>
      </c>
      <c r="C121" s="545">
        <f t="array" aca="1" ref="C121:H121" ca="1">IFERROR(ROUND(TRANSPOSE(Q165:Q170),$B$116),0)</f>
        <v>2.4399999999999999E-4</v>
      </c>
      <c r="D121" s="545">
        <f ca="1"/>
        <v>0</v>
      </c>
      <c r="E121" s="545">
        <f ca="1"/>
        <v>-2.5019999999999999E-3</v>
      </c>
      <c r="F121" s="545">
        <f ca="1"/>
        <v>0</v>
      </c>
      <c r="G121" s="545">
        <f ca="1"/>
        <v>0</v>
      </c>
      <c r="H121" s="545">
        <f ca="1"/>
        <v>0</v>
      </c>
      <c r="J121" s="15">
        <v>9</v>
      </c>
      <c r="K121" s="53" t="e">
        <v>#N/A</v>
      </c>
      <c r="L121" s="47" t="e">
        <v>#N/A</v>
      </c>
      <c r="M121" s="54" t="e">
        <v>#N/A</v>
      </c>
      <c r="N121" s="55" t="e">
        <v>#N/A</v>
      </c>
      <c r="O121" s="55" t="e">
        <f ca="1"/>
        <v>#N/A</v>
      </c>
      <c r="P121" s="50" t="e">
        <f t="shared" ca="1" si="197"/>
        <v>#N/A</v>
      </c>
      <c r="Q121" s="534" t="e">
        <f ca="1">IF(O121=1,δ_0*(SLOPE(INDIRECT(VLOOKUP(S121,$S$112:$X$124,5,FALSE)),INDIRECT(VLOOKUP(S121,$S$112:$X$124,6,FALSE)))-SLOPE(INDIRECT(VLOOKUP(S121-1,$S$112:$X$124,5,FALSE)),INDIRECT(VLOOKUP(S121-1,$S$112:$X$124,6,FALSE)))),0)*86400*VLOOKUP($L$109,Aux!$AL$72:$AN$83,3,FALSE)</f>
        <v>#N/A</v>
      </c>
      <c r="R121" s="534">
        <f t="shared" ca="1" si="203"/>
        <v>0</v>
      </c>
      <c r="S121" s="535">
        <f t="array" aca="1" ref="S121" ca="1">SUM(IF(ISNUMBER(T$112:T121),1,0))+IF($J121&gt;Capas_VN_C1,1,0)</f>
        <v>5</v>
      </c>
      <c r="T121" s="50" t="e">
        <f t="shared" ca="1" si="202"/>
        <v>#N/A</v>
      </c>
      <c r="U121" s="50" t="e">
        <f t="shared" ca="1" si="198"/>
        <v>#N/A</v>
      </c>
      <c r="V121" s="50" t="e">
        <f t="shared" ca="1" si="199"/>
        <v>#N/A</v>
      </c>
      <c r="W121" s="50" t="str">
        <f t="shared" ca="1" si="200"/>
        <v>$U$116:$U$117</v>
      </c>
      <c r="X121" s="214" t="str">
        <f t="shared" ca="1" si="201"/>
        <v>$V$116:$V$117</v>
      </c>
      <c r="AB121" s="51"/>
      <c r="AC121" s="51"/>
      <c r="AD121" s="51"/>
      <c r="AE121" s="48"/>
      <c r="AF121" s="48"/>
      <c r="AG121" s="50"/>
      <c r="AH121" s="50"/>
      <c r="AI121" s="51"/>
      <c r="AJ121" s="50"/>
      <c r="AK121" s="55"/>
      <c r="AL121" s="55"/>
      <c r="AM121" s="51"/>
      <c r="AN121" s="51"/>
      <c r="AO121" s="51"/>
      <c r="AP121" s="48"/>
      <c r="AQ121" s="48"/>
      <c r="AR121" s="50"/>
      <c r="AS121" s="50"/>
      <c r="AT121" s="51"/>
      <c r="AU121" s="50"/>
      <c r="AV121" s="55"/>
      <c r="AW121" s="55"/>
      <c r="AX121" s="50"/>
      <c r="AY121" s="51"/>
      <c r="AZ121" s="51"/>
      <c r="BA121" s="48"/>
      <c r="BB121" s="48"/>
      <c r="BC121" s="50"/>
      <c r="BD121" s="50"/>
      <c r="BP121" s="53"/>
      <c r="BQ121" s="52"/>
      <c r="BR121" s="54"/>
      <c r="BS121" s="50"/>
      <c r="BT121" s="55"/>
      <c r="BU121" s="55"/>
      <c r="BV121" s="51"/>
      <c r="BW121" s="51"/>
      <c r="BX121" s="51"/>
      <c r="BY121" s="48"/>
      <c r="BZ121" s="48"/>
      <c r="CA121" s="50"/>
      <c r="CB121" s="52"/>
      <c r="CC121" s="54"/>
      <c r="CD121" s="50"/>
      <c r="CE121" s="55"/>
      <c r="CF121" s="55"/>
      <c r="CG121" s="51"/>
      <c r="CH121" s="51"/>
      <c r="CI121" s="51"/>
      <c r="CJ121" s="48"/>
      <c r="CK121" s="48"/>
      <c r="CL121" s="50"/>
      <c r="CM121" s="52"/>
      <c r="CN121" s="54"/>
      <c r="CO121" s="50"/>
      <c r="CP121" s="55"/>
      <c r="CQ121" s="55"/>
      <c r="CR121" s="51"/>
      <c r="CS121" s="51"/>
      <c r="CT121" s="51"/>
      <c r="CU121" s="48"/>
      <c r="CV121" s="48"/>
      <c r="CW121" s="50"/>
      <c r="CX121" s="50"/>
      <c r="CY121" s="54"/>
      <c r="CZ121" s="50"/>
      <c r="DA121" s="55"/>
      <c r="DB121" s="55"/>
      <c r="DC121" s="50"/>
      <c r="DD121" s="51"/>
      <c r="DE121" s="51"/>
      <c r="DF121" s="48"/>
      <c r="DG121" s="48"/>
      <c r="DH121" s="50"/>
      <c r="DI121" s="52"/>
    </row>
    <row r="122" spans="1:113" x14ac:dyDescent="0.25">
      <c r="A122" s="15">
        <v>5</v>
      </c>
      <c r="B122" s="98" t="str">
        <f t="shared" ca="1" si="204"/>
        <v>Abril</v>
      </c>
      <c r="C122" s="545">
        <f t="array" aca="1" ref="C122:H122" ca="1">IFERROR(ROUND(TRANSPOSE(Q191:Q196),$B$116),0)</f>
        <v>7.6000000000000004E-5</v>
      </c>
      <c r="D122" s="545">
        <f ca="1"/>
        <v>0</v>
      </c>
      <c r="E122" s="545">
        <f ca="1"/>
        <v>0</v>
      </c>
      <c r="F122" s="545">
        <f ca="1"/>
        <v>0</v>
      </c>
      <c r="G122" s="545">
        <f ca="1"/>
        <v>0</v>
      </c>
      <c r="H122" s="545">
        <f ca="1"/>
        <v>0</v>
      </c>
      <c r="J122" s="15">
        <v>10</v>
      </c>
      <c r="K122" s="53" t="e">
        <v>#N/A</v>
      </c>
      <c r="L122" s="47" t="e">
        <v>#N/A</v>
      </c>
      <c r="M122" s="54" t="e">
        <v>#N/A</v>
      </c>
      <c r="N122" s="55" t="e">
        <v>#N/A</v>
      </c>
      <c r="O122" s="55" t="e">
        <f ca="1"/>
        <v>#N/A</v>
      </c>
      <c r="P122" s="50" t="e">
        <f t="shared" ca="1" si="197"/>
        <v>#N/A</v>
      </c>
      <c r="Q122" s="534" t="e">
        <f ca="1">IF(O122=1,δ_0*(SLOPE(INDIRECT(VLOOKUP(S122,$S$112:$X$124,5,FALSE)),INDIRECT(VLOOKUP(S122,$S$112:$X$124,6,FALSE)))-SLOPE(INDIRECT(VLOOKUP(S122-1,$S$112:$X$124,5,FALSE)),INDIRECT(VLOOKUP(S122-1,$S$112:$X$124,6,FALSE)))),0)*86400*VLOOKUP($L$109,Aux!$AL$72:$AN$83,3,FALSE)</f>
        <v>#N/A</v>
      </c>
      <c r="R122" s="534">
        <f t="shared" ca="1" si="203"/>
        <v>0</v>
      </c>
      <c r="S122" s="535">
        <f t="array" aca="1" ref="S122" ca="1">SUM(IF(ISNUMBER(T$112:T122),1,0))+IF($J122&gt;Capas_VN_C1,1,0)</f>
        <v>5</v>
      </c>
      <c r="T122" s="50" t="e">
        <f t="shared" ca="1" si="202"/>
        <v>#N/A</v>
      </c>
      <c r="U122" s="50" t="e">
        <f t="shared" ca="1" si="198"/>
        <v>#N/A</v>
      </c>
      <c r="V122" s="50" t="e">
        <f t="shared" ca="1" si="199"/>
        <v>#N/A</v>
      </c>
      <c r="W122" s="50" t="str">
        <f t="shared" ca="1" si="200"/>
        <v>$U$116:$U$117</v>
      </c>
      <c r="X122" s="214" t="str">
        <f t="shared" ca="1" si="201"/>
        <v>$V$116:$V$117</v>
      </c>
      <c r="AB122" s="51"/>
      <c r="AC122" s="51"/>
      <c r="AD122" s="51"/>
      <c r="AE122" s="48"/>
      <c r="AF122" s="48"/>
      <c r="AG122" s="50"/>
      <c r="AH122" s="50"/>
      <c r="AI122" s="51"/>
      <c r="AJ122" s="50"/>
      <c r="AK122" s="55"/>
      <c r="AL122" s="55"/>
      <c r="AM122" s="51"/>
      <c r="AN122" s="51"/>
      <c r="AO122" s="51"/>
      <c r="AP122" s="48"/>
      <c r="AQ122" s="48"/>
      <c r="AR122" s="50"/>
      <c r="AS122" s="50"/>
      <c r="AT122" s="51"/>
      <c r="AU122" s="50"/>
      <c r="AV122" s="55"/>
      <c r="AW122" s="55"/>
      <c r="AX122" s="50"/>
      <c r="AY122" s="51"/>
      <c r="AZ122" s="51"/>
      <c r="BA122" s="48"/>
      <c r="BB122" s="48"/>
      <c r="BC122" s="50"/>
      <c r="BD122" s="50"/>
      <c r="BP122" s="53"/>
      <c r="BQ122" s="52"/>
      <c r="BR122" s="54"/>
      <c r="BS122" s="50"/>
      <c r="BT122" s="55"/>
      <c r="BU122" s="55"/>
      <c r="BV122" s="51"/>
      <c r="BW122" s="51"/>
      <c r="BX122" s="51"/>
      <c r="BY122" s="48"/>
      <c r="BZ122" s="48"/>
      <c r="CA122" s="50"/>
      <c r="CB122" s="52"/>
      <c r="CC122" s="54"/>
      <c r="CD122" s="50"/>
      <c r="CE122" s="55"/>
      <c r="CF122" s="55"/>
      <c r="CG122" s="51"/>
      <c r="CH122" s="51"/>
      <c r="CI122" s="51"/>
      <c r="CJ122" s="48"/>
      <c r="CK122" s="48"/>
      <c r="CL122" s="50"/>
      <c r="CM122" s="52"/>
      <c r="CN122" s="54"/>
      <c r="CO122" s="50"/>
      <c r="CP122" s="55"/>
      <c r="CQ122" s="55"/>
      <c r="CR122" s="51"/>
      <c r="CS122" s="51"/>
      <c r="CT122" s="51"/>
      <c r="CU122" s="48"/>
      <c r="CV122" s="48"/>
      <c r="CW122" s="50"/>
      <c r="CX122" s="50"/>
      <c r="CY122" s="54"/>
      <c r="CZ122" s="50"/>
      <c r="DA122" s="55"/>
      <c r="DB122" s="55"/>
      <c r="DC122" s="50"/>
      <c r="DD122" s="51"/>
      <c r="DE122" s="51"/>
      <c r="DF122" s="48"/>
      <c r="DG122" s="48"/>
      <c r="DH122" s="50"/>
      <c r="DI122" s="52"/>
    </row>
    <row r="123" spans="1:113" x14ac:dyDescent="0.25">
      <c r="A123" s="15">
        <v>6</v>
      </c>
      <c r="B123" s="98" t="str">
        <f t="shared" ca="1" si="204"/>
        <v>Mayo</v>
      </c>
      <c r="C123" s="545">
        <f t="array" aca="1" ref="C123:H123" ca="1">IFERROR(ROUND(TRANSPOSE(Q217:Q222),$B$116),0)</f>
        <v>-1.2999999999999999E-5</v>
      </c>
      <c r="D123" s="545">
        <f ca="1"/>
        <v>0</v>
      </c>
      <c r="E123" s="545">
        <f ca="1"/>
        <v>0</v>
      </c>
      <c r="F123" s="545">
        <f ca="1"/>
        <v>0</v>
      </c>
      <c r="G123" s="545">
        <f ca="1"/>
        <v>0</v>
      </c>
      <c r="H123" s="545">
        <f ca="1"/>
        <v>0</v>
      </c>
      <c r="J123" s="15">
        <v>11</v>
      </c>
      <c r="K123" s="53" t="e">
        <v>#N/A</v>
      </c>
      <c r="L123" s="47" t="e">
        <v>#N/A</v>
      </c>
      <c r="M123" s="54" t="e">
        <v>#N/A</v>
      </c>
      <c r="N123" s="55" t="e">
        <v>#N/A</v>
      </c>
      <c r="O123" s="55" t="e">
        <f ca="1"/>
        <v>#N/A</v>
      </c>
      <c r="P123" s="50" t="e">
        <f t="shared" ca="1" si="197"/>
        <v>#N/A</v>
      </c>
      <c r="Q123" s="534" t="e">
        <f ca="1">IF(O123=1,δ_0*(SLOPE(INDIRECT(VLOOKUP(S123,$S$112:$X$124,5,FALSE)),INDIRECT(VLOOKUP(S123,$S$112:$X$124,6,FALSE)))-SLOPE(INDIRECT(VLOOKUP(S123-1,$S$112:$X$124,5,FALSE)),INDIRECT(VLOOKUP(S123-1,$S$112:$X$124,6,FALSE)))),0)*86400*VLOOKUP($L$109,Aux!$AL$72:$AN$83,3,FALSE)</f>
        <v>#N/A</v>
      </c>
      <c r="R123" s="534">
        <f t="shared" ca="1" si="203"/>
        <v>0</v>
      </c>
      <c r="S123" s="535">
        <f t="array" aca="1" ref="S123" ca="1">SUM(IF(ISNUMBER(T$112:T123),1,0))+IF($J123&gt;Capas_VN_C1,1,0)</f>
        <v>5</v>
      </c>
      <c r="T123" s="50" t="e">
        <f t="shared" ca="1" si="202"/>
        <v>#N/A</v>
      </c>
      <c r="U123" s="50" t="e">
        <f t="shared" ca="1" si="198"/>
        <v>#N/A</v>
      </c>
      <c r="V123" s="50" t="e">
        <f t="shared" ca="1" si="199"/>
        <v>#N/A</v>
      </c>
      <c r="W123" s="50" t="str">
        <f t="shared" ca="1" si="200"/>
        <v>$U$116:$U$117</v>
      </c>
      <c r="X123" s="214" t="str">
        <f t="shared" ca="1" si="201"/>
        <v>$V$116:$V$117</v>
      </c>
      <c r="AB123" s="51"/>
      <c r="AC123" s="51"/>
      <c r="AD123" s="51"/>
      <c r="AE123" s="48"/>
      <c r="AF123" s="48"/>
      <c r="AG123" s="50"/>
      <c r="AH123" s="50"/>
      <c r="AI123" s="51"/>
      <c r="AJ123" s="50"/>
      <c r="AK123" s="55"/>
      <c r="AL123" s="55"/>
      <c r="AM123" s="51"/>
      <c r="AN123" s="51"/>
      <c r="AO123" s="51"/>
      <c r="AP123" s="48"/>
      <c r="AQ123" s="48"/>
      <c r="AR123" s="50"/>
      <c r="AS123" s="50"/>
      <c r="AT123" s="51"/>
      <c r="AU123" s="50"/>
      <c r="AV123" s="55"/>
      <c r="AW123" s="55"/>
      <c r="AX123" s="50"/>
      <c r="AY123" s="51"/>
      <c r="AZ123" s="51"/>
      <c r="BA123" s="48"/>
      <c r="BB123" s="48"/>
      <c r="BC123" s="50"/>
      <c r="BD123" s="50"/>
      <c r="BP123" s="53"/>
      <c r="BQ123" s="52"/>
      <c r="BR123" s="54"/>
      <c r="BS123" s="50"/>
      <c r="BT123" s="55"/>
      <c r="BU123" s="55"/>
      <c r="BV123" s="51"/>
      <c r="BW123" s="51"/>
      <c r="BX123" s="51"/>
      <c r="BY123" s="48"/>
      <c r="BZ123" s="48"/>
      <c r="CA123" s="50"/>
      <c r="CB123" s="52"/>
      <c r="CC123" s="54"/>
      <c r="CD123" s="50"/>
      <c r="CE123" s="55"/>
      <c r="CF123" s="55"/>
      <c r="CG123" s="51"/>
      <c r="CH123" s="51"/>
      <c r="CI123" s="51"/>
      <c r="CJ123" s="48"/>
      <c r="CK123" s="48"/>
      <c r="CL123" s="50"/>
      <c r="CM123" s="52"/>
      <c r="CN123" s="54"/>
      <c r="CO123" s="50"/>
      <c r="CP123" s="55"/>
      <c r="CQ123" s="55"/>
      <c r="CR123" s="51"/>
      <c r="CS123" s="51"/>
      <c r="CT123" s="51"/>
      <c r="CU123" s="48"/>
      <c r="CV123" s="48"/>
      <c r="CW123" s="50"/>
      <c r="CX123" s="50"/>
      <c r="CY123" s="54"/>
      <c r="CZ123" s="50"/>
      <c r="DA123" s="55"/>
      <c r="DB123" s="55"/>
      <c r="DC123" s="50"/>
      <c r="DD123" s="51"/>
      <c r="DE123" s="51"/>
      <c r="DF123" s="48"/>
      <c r="DG123" s="48"/>
      <c r="DH123" s="50"/>
      <c r="DI123" s="52"/>
    </row>
    <row r="124" spans="1:113" x14ac:dyDescent="0.25">
      <c r="A124" s="15">
        <v>7</v>
      </c>
      <c r="B124" s="98" t="str">
        <f t="shared" ca="1" si="204"/>
        <v>Junio</v>
      </c>
      <c r="C124" s="545">
        <f t="array" aca="1" ref="C124:H124" ca="1">IFERROR(ROUND(TRANSPOSE(Q243:Q248),$B$116),0)</f>
        <v>-9.0000000000000006E-5</v>
      </c>
      <c r="D124" s="545">
        <f ca="1"/>
        <v>0</v>
      </c>
      <c r="E124" s="545">
        <f ca="1"/>
        <v>0</v>
      </c>
      <c r="F124" s="545">
        <f ca="1"/>
        <v>0</v>
      </c>
      <c r="G124" s="545">
        <f ca="1"/>
        <v>0</v>
      </c>
      <c r="H124" s="545">
        <f ca="1"/>
        <v>0</v>
      </c>
      <c r="J124" s="517">
        <v>12</v>
      </c>
      <c r="K124" s="53" t="e">
        <v>#N/A</v>
      </c>
      <c r="L124" s="47" t="e">
        <v>#N/A</v>
      </c>
      <c r="M124" s="54" t="e">
        <v>#N/A</v>
      </c>
      <c r="N124" s="55" t="e">
        <v>#N/A</v>
      </c>
      <c r="O124" s="55" t="e">
        <f ca="1"/>
        <v>#N/A</v>
      </c>
      <c r="P124" s="50" t="e">
        <f t="shared" ca="1" si="197"/>
        <v>#N/A</v>
      </c>
      <c r="Q124" s="534" t="e">
        <f ca="1">IF(O124=1,δ_0*(SLOPE(INDIRECT(VLOOKUP(S124,$S$112:$X$124,5,FALSE)),INDIRECT(VLOOKUP(S124,$S$112:$X$124,6,FALSE)))-SLOPE(INDIRECT(VLOOKUP(S124-1,$S$112:$X$124,5,FALSE)),INDIRECT(VLOOKUP(S124-1,$S$112:$X$124,6,FALSE)))),0)*86400*VLOOKUP($L$109,Aux!$AL$72:$AN$83,3,FALSE)</f>
        <v>#N/A</v>
      </c>
      <c r="R124" s="534">
        <f t="shared" ca="1" si="203"/>
        <v>0</v>
      </c>
      <c r="S124" s="535">
        <f t="array" aca="1" ref="S124" ca="1">SUM(IF(ISNUMBER(T$112:T124),1,0))+IF($J124&gt;Capas_VN_C1,1,0)</f>
        <v>5</v>
      </c>
      <c r="T124" s="50" t="e">
        <f t="shared" ca="1" si="202"/>
        <v>#N/A</v>
      </c>
      <c r="U124" s="50" t="e">
        <f t="shared" ca="1" si="198"/>
        <v>#N/A</v>
      </c>
      <c r="V124" s="50" t="e">
        <f t="shared" ca="1" si="199"/>
        <v>#N/A</v>
      </c>
      <c r="W124" s="50" t="str">
        <f t="shared" ca="1" si="200"/>
        <v>$U$116:$U$117</v>
      </c>
      <c r="X124" s="214" t="str">
        <f t="shared" ca="1" si="201"/>
        <v>$V$116:$V$117</v>
      </c>
      <c r="AB124" s="51"/>
      <c r="AC124" s="51"/>
      <c r="AD124" s="51"/>
      <c r="AE124" s="48"/>
      <c r="AF124" s="48"/>
      <c r="AG124" s="50"/>
      <c r="AH124" s="50"/>
      <c r="AI124" s="51"/>
      <c r="AJ124" s="50"/>
      <c r="AK124" s="55"/>
      <c r="AL124" s="55"/>
      <c r="AM124" s="51"/>
      <c r="AN124" s="51"/>
      <c r="AO124" s="51"/>
      <c r="AP124" s="48"/>
      <c r="AQ124" s="48"/>
      <c r="AR124" s="50"/>
      <c r="AS124" s="50"/>
      <c r="AT124" s="51"/>
      <c r="AU124" s="50"/>
      <c r="AV124" s="55"/>
      <c r="AW124" s="55"/>
      <c r="AX124" s="50"/>
      <c r="AY124" s="51"/>
      <c r="AZ124" s="51"/>
      <c r="BA124" s="48"/>
      <c r="BB124" s="48"/>
      <c r="BC124" s="50"/>
      <c r="BD124" s="50"/>
      <c r="BP124" s="53"/>
      <c r="BQ124" s="52"/>
      <c r="BR124" s="54"/>
      <c r="BS124" s="50"/>
      <c r="BT124" s="55"/>
      <c r="BU124" s="55"/>
      <c r="BV124" s="51"/>
      <c r="BW124" s="51"/>
      <c r="BX124" s="51"/>
      <c r="BY124" s="48"/>
      <c r="BZ124" s="48"/>
      <c r="CA124" s="50"/>
      <c r="CB124" s="52"/>
      <c r="CC124" s="54"/>
      <c r="CD124" s="50"/>
      <c r="CE124" s="55"/>
      <c r="CF124" s="55"/>
      <c r="CG124" s="51"/>
      <c r="CH124" s="51"/>
      <c r="CI124" s="51"/>
      <c r="CJ124" s="48"/>
      <c r="CK124" s="48"/>
      <c r="CL124" s="50"/>
      <c r="CM124" s="52"/>
      <c r="CN124" s="54"/>
      <c r="CO124" s="50"/>
      <c r="CP124" s="55"/>
      <c r="CQ124" s="55"/>
      <c r="CR124" s="51"/>
      <c r="CS124" s="51"/>
      <c r="CT124" s="51"/>
      <c r="CU124" s="48"/>
      <c r="CV124" s="48"/>
      <c r="CW124" s="50"/>
      <c r="CX124" s="50"/>
      <c r="CY124" s="54"/>
      <c r="CZ124" s="50"/>
      <c r="DA124" s="55"/>
      <c r="DB124" s="55"/>
      <c r="DC124" s="50"/>
      <c r="DD124" s="51"/>
      <c r="DE124" s="51"/>
      <c r="DF124" s="48"/>
      <c r="DG124" s="48"/>
      <c r="DH124" s="50"/>
      <c r="DI124" s="52"/>
    </row>
    <row r="125" spans="1:113" ht="15.75" thickBot="1" x14ac:dyDescent="0.3">
      <c r="A125" s="15">
        <v>8</v>
      </c>
      <c r="B125" s="98" t="str">
        <f t="shared" ca="1" si="204"/>
        <v>Julio</v>
      </c>
      <c r="C125" s="545">
        <f t="array" aca="1" ref="C125:H125" ca="1">IFERROR(ROUND(TRANSPOSE(Q269:Q274),$B$116),0)</f>
        <v>-1.0900000000000001E-4</v>
      </c>
      <c r="D125" s="545">
        <f ca="1"/>
        <v>0</v>
      </c>
      <c r="E125" s="545">
        <f ca="1"/>
        <v>0</v>
      </c>
      <c r="F125" s="545">
        <f ca="1"/>
        <v>0</v>
      </c>
      <c r="G125" s="545">
        <f ca="1"/>
        <v>0</v>
      </c>
      <c r="H125" s="545">
        <f ca="1"/>
        <v>0</v>
      </c>
      <c r="J125" s="517"/>
      <c r="K125" s="53"/>
      <c r="L125" s="52"/>
      <c r="M125" s="62"/>
      <c r="N125" s="65"/>
      <c r="O125" s="65"/>
      <c r="P125" s="65"/>
      <c r="Q125" s="542"/>
      <c r="R125" s="65"/>
      <c r="S125" s="62"/>
      <c r="T125" s="65"/>
      <c r="U125" s="65"/>
      <c r="V125" s="65"/>
      <c r="W125" s="65"/>
      <c r="X125" s="61"/>
      <c r="AB125" s="51"/>
      <c r="AC125" s="51"/>
      <c r="AD125" s="51"/>
      <c r="AE125" s="48"/>
      <c r="AF125" s="48"/>
      <c r="AG125" s="50"/>
      <c r="AH125" s="50"/>
      <c r="AI125" s="51"/>
      <c r="AJ125" s="50"/>
      <c r="AK125" s="55"/>
      <c r="AL125" s="55"/>
      <c r="AM125" s="51"/>
      <c r="AN125" s="51"/>
      <c r="AO125" s="51"/>
      <c r="AP125" s="48"/>
      <c r="AQ125" s="48"/>
      <c r="AR125" s="50"/>
      <c r="AS125" s="50"/>
      <c r="AT125" s="51"/>
      <c r="AU125" s="50"/>
      <c r="AV125" s="55"/>
      <c r="AW125" s="55"/>
      <c r="AX125" s="50"/>
      <c r="AY125" s="51"/>
      <c r="AZ125" s="51"/>
      <c r="BA125" s="48"/>
      <c r="BB125" s="48"/>
      <c r="BC125" s="50"/>
      <c r="BD125" s="50"/>
      <c r="BP125" s="53"/>
      <c r="BQ125" s="52"/>
      <c r="BR125" s="54"/>
      <c r="BS125" s="50"/>
      <c r="BT125" s="55"/>
      <c r="BU125" s="55"/>
      <c r="BV125" s="51"/>
      <c r="BW125" s="51"/>
      <c r="BX125" s="51"/>
      <c r="BY125" s="48"/>
      <c r="BZ125" s="48"/>
      <c r="CA125" s="50"/>
      <c r="CB125" s="52"/>
      <c r="CC125" s="54"/>
      <c r="CD125" s="50"/>
      <c r="CE125" s="55"/>
      <c r="CF125" s="55"/>
      <c r="CG125" s="51"/>
      <c r="CH125" s="51"/>
      <c r="CI125" s="51"/>
      <c r="CJ125" s="48"/>
      <c r="CK125" s="48"/>
      <c r="CL125" s="50"/>
      <c r="CM125" s="52"/>
      <c r="CN125" s="54"/>
      <c r="CO125" s="50"/>
      <c r="CP125" s="55"/>
      <c r="CQ125" s="55"/>
      <c r="CR125" s="51"/>
      <c r="CS125" s="51"/>
      <c r="CT125" s="51"/>
      <c r="CU125" s="48"/>
      <c r="CV125" s="48"/>
      <c r="CW125" s="50"/>
      <c r="CX125" s="50"/>
      <c r="CY125" s="54"/>
      <c r="CZ125" s="50"/>
      <c r="DA125" s="55"/>
      <c r="DB125" s="55"/>
      <c r="DC125" s="50"/>
      <c r="DD125" s="51"/>
      <c r="DE125" s="51"/>
      <c r="DF125" s="48"/>
      <c r="DG125" s="48"/>
      <c r="DH125" s="50"/>
      <c r="DI125" s="52"/>
    </row>
    <row r="126" spans="1:113" ht="15.75" thickBot="1" x14ac:dyDescent="0.3">
      <c r="A126" s="15">
        <v>9</v>
      </c>
      <c r="B126" s="98" t="str">
        <f t="shared" ca="1" si="204"/>
        <v>Agosto</v>
      </c>
      <c r="C126" s="545">
        <f t="array" aca="1" ref="C126:H126" ca="1">IFERROR(ROUND(TRANSPOSE(Q295:Q300),$B$116),0)</f>
        <v>-1.0399999999999999E-4</v>
      </c>
      <c r="D126" s="545">
        <f ca="1"/>
        <v>0</v>
      </c>
      <c r="E126" s="545">
        <f ca="1"/>
        <v>0</v>
      </c>
      <c r="F126" s="545">
        <f ca="1"/>
        <v>0</v>
      </c>
      <c r="G126" s="545">
        <f ca="1"/>
        <v>0</v>
      </c>
      <c r="H126" s="545">
        <f ca="1"/>
        <v>0</v>
      </c>
      <c r="K126" s="68" t="s">
        <v>145</v>
      </c>
      <c r="L126" s="505">
        <v>-1</v>
      </c>
      <c r="M126" s="506" t="s">
        <v>275</v>
      </c>
      <c r="N126" s="507">
        <v>20</v>
      </c>
      <c r="O126" s="36" t="s">
        <v>735</v>
      </c>
      <c r="P126" s="513">
        <v>667.37107718904508</v>
      </c>
      <c r="Q126" s="539"/>
      <c r="Y126" s="50"/>
      <c r="Z126" s="50"/>
      <c r="AA126" s="55"/>
      <c r="AI126" s="50"/>
      <c r="AK126" s="50"/>
      <c r="AL126" s="55"/>
      <c r="AT126" s="50"/>
      <c r="BP126" s="62"/>
      <c r="BQ126" s="63"/>
      <c r="BR126" s="62"/>
      <c r="BS126" s="65"/>
      <c r="BT126" s="64"/>
      <c r="BU126" s="58"/>
      <c r="BV126" s="58"/>
      <c r="BW126" s="58"/>
      <c r="BX126" s="58"/>
      <c r="BY126" s="58"/>
      <c r="BZ126" s="58"/>
      <c r="CA126" s="58"/>
      <c r="CB126" s="61"/>
      <c r="CC126" s="62"/>
      <c r="CD126" s="65"/>
      <c r="CE126" s="64"/>
      <c r="CF126" s="58"/>
      <c r="CG126" s="58"/>
      <c r="CH126" s="58"/>
      <c r="CI126" s="58"/>
      <c r="CJ126" s="58"/>
      <c r="CK126" s="58"/>
      <c r="CL126" s="58"/>
      <c r="CM126" s="61"/>
      <c r="CN126" s="62"/>
      <c r="CO126" s="58"/>
      <c r="CP126" s="65"/>
      <c r="CQ126" s="64"/>
      <c r="CR126" s="58"/>
      <c r="CS126" s="58"/>
      <c r="CT126" s="58"/>
      <c r="CU126" s="58"/>
      <c r="CV126" s="58"/>
      <c r="CW126" s="58"/>
      <c r="CX126" s="58"/>
      <c r="CY126" s="62"/>
      <c r="CZ126" s="58"/>
      <c r="DA126" s="58"/>
      <c r="DB126" s="58"/>
      <c r="DC126" s="58"/>
      <c r="DD126" s="58"/>
      <c r="DE126" s="58"/>
      <c r="DF126" s="58"/>
      <c r="DG126" s="58"/>
      <c r="DH126" s="58"/>
      <c r="DI126" s="61"/>
    </row>
    <row r="127" spans="1:113" x14ac:dyDescent="0.25">
      <c r="A127" s="15">
        <v>10</v>
      </c>
      <c r="B127" s="98" t="str">
        <f t="shared" ca="1" si="204"/>
        <v>Septiembre</v>
      </c>
      <c r="C127" s="545">
        <f t="array" aca="1" ref="C127:H127" ca="1">IFERROR(ROUND(TRANSPOSE(Q321:Q326),$B$116),0)</f>
        <v>-1.0000000000000001E-5</v>
      </c>
      <c r="D127" s="545">
        <f ca="1"/>
        <v>0</v>
      </c>
      <c r="E127" s="545">
        <f ca="1"/>
        <v>0</v>
      </c>
      <c r="F127" s="545">
        <f ca="1"/>
        <v>0</v>
      </c>
      <c r="G127" s="545">
        <f ca="1"/>
        <v>0</v>
      </c>
      <c r="H127" s="545">
        <f ca="1"/>
        <v>0</v>
      </c>
      <c r="K127" s="75" t="s">
        <v>144</v>
      </c>
      <c r="L127" s="22">
        <v>0.85</v>
      </c>
      <c r="M127" s="80" t="s">
        <v>771</v>
      </c>
      <c r="N127" s="508">
        <v>0.49</v>
      </c>
      <c r="O127" s="68" t="s">
        <v>780</v>
      </c>
      <c r="P127" s="507" t="b">
        <v>1</v>
      </c>
      <c r="Q127" s="539"/>
      <c r="U127" s="22"/>
      <c r="V127" s="22"/>
      <c r="Y127" s="22"/>
      <c r="Z127" s="28"/>
      <c r="AA127" s="48"/>
      <c r="AI127" s="22"/>
      <c r="AJ127" s="28"/>
      <c r="AK127" s="48"/>
      <c r="AT127" s="22"/>
      <c r="AU127" s="28"/>
      <c r="AV127" s="48"/>
      <c r="BP127" s="68" t="s">
        <v>144</v>
      </c>
      <c r="BQ127" s="73" t="e">
        <f>IF([0]!Casilla2,φe_H1_C1,VLOOKUP(Seccion1!provincia_C1,datos_humedad_julio[],$L$57+1,FALSE))</f>
        <v>#NAME?</v>
      </c>
      <c r="BR127" s="111"/>
      <c r="BS127" s="77" t="s">
        <v>160</v>
      </c>
      <c r="BT127" s="70"/>
      <c r="BU127" s="38"/>
      <c r="BV127" s="38"/>
      <c r="BW127" s="38"/>
      <c r="BX127" s="38"/>
      <c r="BY127" s="71"/>
      <c r="BZ127" s="71"/>
      <c r="CA127" s="38"/>
      <c r="CB127" s="72"/>
      <c r="CC127" s="111"/>
      <c r="CD127" s="77" t="s">
        <v>160</v>
      </c>
      <c r="CE127" s="67"/>
      <c r="CF127" s="38"/>
      <c r="CG127" s="38"/>
      <c r="CH127" s="38"/>
      <c r="CI127" s="38"/>
      <c r="CJ127" s="38"/>
      <c r="CK127" s="38"/>
      <c r="CL127" s="38"/>
      <c r="CM127" s="72"/>
      <c r="CN127" s="111"/>
      <c r="CO127" s="77" t="s">
        <v>160</v>
      </c>
      <c r="CP127" s="67"/>
      <c r="CQ127" s="38"/>
      <c r="CR127" s="38"/>
      <c r="CS127" s="38"/>
      <c r="CT127" s="38"/>
      <c r="CU127" s="38"/>
      <c r="CV127" s="38"/>
      <c r="CW127" s="38"/>
      <c r="CX127" s="38"/>
      <c r="CY127" s="111"/>
      <c r="CZ127" s="77" t="s">
        <v>160</v>
      </c>
      <c r="DA127" s="67"/>
      <c r="DB127" s="38"/>
      <c r="DC127" s="38"/>
      <c r="DD127" s="38"/>
      <c r="DE127" s="38"/>
      <c r="DF127" s="38"/>
      <c r="DG127" s="38"/>
      <c r="DH127" s="38"/>
      <c r="DI127" s="72"/>
    </row>
    <row r="128" spans="1:113" x14ac:dyDescent="0.25">
      <c r="A128" s="15">
        <v>11</v>
      </c>
      <c r="B128" s="98" t="str">
        <f t="shared" ca="1" si="204"/>
        <v>Octubre</v>
      </c>
      <c r="C128" s="545">
        <f t="array" aca="1" ref="C128:H128" ca="1">IFERROR(ROUND(TRANSPOSE(Q347:Q352),$B$116),0)</f>
        <v>6.0000000000000002E-5</v>
      </c>
      <c r="D128" s="545">
        <f ca="1"/>
        <v>0</v>
      </c>
      <c r="E128" s="545">
        <f ca="1"/>
        <v>0</v>
      </c>
      <c r="F128" s="545">
        <f ca="1"/>
        <v>0</v>
      </c>
      <c r="G128" s="545">
        <f ca="1"/>
        <v>0</v>
      </c>
      <c r="H128" s="545">
        <f ca="1"/>
        <v>0</v>
      </c>
      <c r="K128" s="75" t="s">
        <v>108</v>
      </c>
      <c r="L128" s="79">
        <v>562.04115679306165</v>
      </c>
      <c r="M128" s="80" t="s">
        <v>109</v>
      </c>
      <c r="N128" s="78">
        <v>2336.9511438023419</v>
      </c>
      <c r="O128" s="75" t="s">
        <v>782</v>
      </c>
      <c r="P128" s="508">
        <v>2</v>
      </c>
      <c r="Q128" s="539"/>
      <c r="U128" s="48"/>
      <c r="V128" s="48"/>
      <c r="Y128" s="82"/>
      <c r="Z128" s="80"/>
      <c r="AA128" s="48"/>
      <c r="AI128" s="82"/>
      <c r="AJ128" s="80"/>
      <c r="AK128" s="48"/>
      <c r="AT128" s="82"/>
      <c r="AU128" s="80"/>
      <c r="AV128" s="48"/>
      <c r="BP128" s="75" t="s">
        <v>145</v>
      </c>
      <c r="BQ128" s="76" t="e">
        <f>IF([0]!Casilla2,φe_H1_C1,VLOOKUP(Seccion1!provincia_C1,datos_temperatura_julio[],$L$57+1,FALSE))</f>
        <v>#NAME?</v>
      </c>
      <c r="BR128" s="112"/>
      <c r="BS128" s="80" t="s">
        <v>162</v>
      </c>
      <c r="BT128" s="17"/>
      <c r="BY128" s="48"/>
      <c r="BZ128" s="48"/>
      <c r="CB128" s="49"/>
      <c r="CC128" s="112"/>
      <c r="CD128" s="80" t="s">
        <v>162</v>
      </c>
      <c r="CE128" s="48"/>
      <c r="CM128" s="49"/>
      <c r="CN128" s="112"/>
      <c r="CO128" s="80" t="s">
        <v>162</v>
      </c>
      <c r="CP128" s="48"/>
      <c r="CY128" s="112"/>
      <c r="CZ128" s="80" t="s">
        <v>162</v>
      </c>
      <c r="DA128" s="48"/>
      <c r="DI128" s="49"/>
    </row>
    <row r="129" spans="1:113" ht="18.75" thickBot="1" x14ac:dyDescent="0.4">
      <c r="A129" s="15">
        <v>12</v>
      </c>
      <c r="B129" s="98" t="str">
        <f t="shared" ca="1" si="204"/>
        <v>Noviembre</v>
      </c>
      <c r="C129" s="545">
        <f t="array" aca="1" ref="C129:H129" ca="1">IFERROR(ROUND(TRANSPOSE(Q373:Q378),$B$116),0)</f>
        <v>1.9000000000000001E-4</v>
      </c>
      <c r="D129" s="545">
        <f ca="1"/>
        <v>0</v>
      </c>
      <c r="E129" s="545">
        <f ca="1"/>
        <v>0</v>
      </c>
      <c r="F129" s="545">
        <f ca="1"/>
        <v>0</v>
      </c>
      <c r="G129" s="545">
        <f ca="1"/>
        <v>0</v>
      </c>
      <c r="H129" s="545">
        <f ca="1"/>
        <v>0</v>
      </c>
      <c r="K129" s="486" t="s">
        <v>156</v>
      </c>
      <c r="L129" s="509">
        <v>477.73498327410238</v>
      </c>
      <c r="M129" s="115" t="s">
        <v>781</v>
      </c>
      <c r="N129" s="487">
        <v>1145.1060604631475</v>
      </c>
      <c r="O129" s="75" t="s">
        <v>161</v>
      </c>
      <c r="P129" s="508">
        <v>2.2134586946496756E-11</v>
      </c>
      <c r="Q129" s="539"/>
      <c r="Y129" s="79"/>
      <c r="Z129" s="80"/>
      <c r="AA129" s="79"/>
      <c r="AI129" s="79"/>
      <c r="AJ129" s="80"/>
      <c r="AK129" s="79"/>
      <c r="AT129" s="79"/>
      <c r="AU129" s="80"/>
      <c r="AV129" s="79"/>
      <c r="BP129" s="75" t="s">
        <v>108</v>
      </c>
      <c r="BQ129" s="78">
        <f ca="1">IF(ISNUMBER(ϴe_H3_C1),IF(ϴe_H3_C1&gt;=0,610.5*EXP((17.269*ϴe_H3_C1)/(237.3+ϴe_H3_C1)),610.5*EXP((21.875*ϴe_H3_C1)/(265.5+ϴe_H3_C1))),NA())</f>
        <v>871.86452524041533</v>
      </c>
      <c r="BR129" s="113"/>
      <c r="BS129" s="80" t="s">
        <v>125</v>
      </c>
      <c r="BT129" s="79"/>
      <c r="CB129" s="49"/>
      <c r="CC129" s="113"/>
      <c r="CD129" s="80" t="s">
        <v>125</v>
      </c>
      <c r="CE129" s="79"/>
      <c r="CM129" s="49"/>
      <c r="CN129" s="113"/>
      <c r="CO129" s="80" t="s">
        <v>125</v>
      </c>
      <c r="CP129" s="79"/>
      <c r="CY129" s="113"/>
      <c r="CZ129" s="80" t="s">
        <v>125</v>
      </c>
      <c r="DA129" s="79"/>
      <c r="DI129" s="49"/>
    </row>
    <row r="130" spans="1:113" ht="18" x14ac:dyDescent="0.35">
      <c r="B130" s="518" t="s">
        <v>798</v>
      </c>
      <c r="C130" s="503" t="s">
        <v>790</v>
      </c>
      <c r="D130" s="503" t="s">
        <v>791</v>
      </c>
      <c r="E130" s="503" t="s">
        <v>792</v>
      </c>
      <c r="F130" s="503" t="s">
        <v>793</v>
      </c>
      <c r="G130" s="503" t="s">
        <v>794</v>
      </c>
      <c r="H130" s="503" t="s">
        <v>795</v>
      </c>
      <c r="K130" s="68" t="s">
        <v>779</v>
      </c>
      <c r="L130" s="70" t="b">
        <v>0</v>
      </c>
      <c r="M130" s="38"/>
      <c r="N130" s="72"/>
      <c r="O130" s="75" t="s">
        <v>628</v>
      </c>
      <c r="P130" s="49"/>
      <c r="Q130" s="539"/>
      <c r="Y130" s="79"/>
      <c r="Z130" s="80"/>
      <c r="AA130" s="82"/>
      <c r="AI130" s="79"/>
      <c r="AJ130" s="80"/>
      <c r="AK130" s="82"/>
      <c r="AT130" s="79"/>
      <c r="AU130" s="80"/>
      <c r="AV130" s="82"/>
      <c r="BP130" s="81" t="s">
        <v>109</v>
      </c>
      <c r="BQ130" s="78" t="e">
        <f>IF(ISNUMBER([0]!ϴi_C1),IF([0]!ϴi_C1&gt;=0,610.5*EXP((17.269*[0]!ϴi_C1)/(237.3+[0]!ϴi_C1)),610.5*EXP((21.875*[0]!ϴi_C1)/(265.5+[0]!ϴi_C1))),NA())</f>
        <v>#N/A</v>
      </c>
      <c r="BR130" s="113"/>
      <c r="BS130" s="80" t="s">
        <v>126</v>
      </c>
      <c r="BT130" s="82"/>
      <c r="CB130" s="49"/>
      <c r="CC130" s="113"/>
      <c r="CD130" s="80" t="s">
        <v>126</v>
      </c>
      <c r="CE130" s="82"/>
      <c r="CM130" s="49"/>
      <c r="CN130" s="113"/>
      <c r="CO130" s="80" t="s">
        <v>126</v>
      </c>
      <c r="CP130" s="82"/>
      <c r="CY130" s="113"/>
      <c r="CZ130" s="80" t="s">
        <v>126</v>
      </c>
      <c r="DA130" s="82"/>
      <c r="DI130" s="49"/>
    </row>
    <row r="131" spans="1:113" ht="18" x14ac:dyDescent="0.35">
      <c r="A131" s="15">
        <v>1</v>
      </c>
      <c r="B131" s="98" t="str">
        <f t="shared" ca="1" si="204"/>
        <v>Diciembre</v>
      </c>
      <c r="C131" s="545">
        <f t="array" aca="1" ref="C131:H131" ca="1">IFERROR(ROUND(TRANSPOSE(Q93:Q98),$B$116),0)</f>
        <v>0</v>
      </c>
      <c r="D131" s="545">
        <f ca="1"/>
        <v>0</v>
      </c>
      <c r="E131" s="545">
        <f ca="1"/>
        <v>0</v>
      </c>
      <c r="F131" s="545">
        <f ca="1"/>
        <v>0</v>
      </c>
      <c r="G131" s="545">
        <f ca="1"/>
        <v>0</v>
      </c>
      <c r="H131" s="545">
        <f ca="1"/>
        <v>0</v>
      </c>
      <c r="K131" s="75" t="s">
        <v>125</v>
      </c>
      <c r="L131" s="79">
        <v>1431.3825755789344</v>
      </c>
      <c r="M131" s="80" t="s">
        <v>126</v>
      </c>
      <c r="N131" s="76">
        <v>12.317049677822439</v>
      </c>
      <c r="O131" s="43"/>
      <c r="P131" s="49"/>
      <c r="Q131" s="539"/>
      <c r="Y131" s="79"/>
      <c r="Z131" s="80"/>
      <c r="AA131" s="83"/>
      <c r="AI131" s="79"/>
      <c r="AJ131" s="80"/>
      <c r="AK131" s="83"/>
      <c r="AT131" s="79"/>
      <c r="AU131" s="80"/>
      <c r="AV131" s="83"/>
      <c r="BP131" s="75" t="s">
        <v>156</v>
      </c>
      <c r="BQ131" s="78">
        <f ca="1">P_sat_e_VN_C1*φe_H3_C1</f>
        <v>767.24078221156549</v>
      </c>
      <c r="BR131" s="113"/>
      <c r="BS131" s="80" t="s">
        <v>127</v>
      </c>
      <c r="BT131" s="83"/>
      <c r="CB131" s="49"/>
      <c r="CC131" s="113"/>
      <c r="CD131" s="80" t="s">
        <v>127</v>
      </c>
      <c r="CE131" s="83"/>
      <c r="CM131" s="49"/>
      <c r="CN131" s="113"/>
      <c r="CO131" s="80" t="s">
        <v>127</v>
      </c>
      <c r="CP131" s="83"/>
      <c r="CY131" s="113"/>
      <c r="CZ131" s="80" t="s">
        <v>127</v>
      </c>
      <c r="DA131" s="83"/>
      <c r="DI131" s="49"/>
    </row>
    <row r="132" spans="1:113" ht="18.75" thickBot="1" x14ac:dyDescent="0.4">
      <c r="A132" s="15">
        <v>2</v>
      </c>
      <c r="B132" s="98" t="str">
        <f t="shared" ca="1" si="204"/>
        <v>Enero</v>
      </c>
      <c r="C132" s="545">
        <f t="array" aca="1" ref="C132:H132" ca="1">IFERROR(ROUND(TRANSPOSE(Q119:Q124),$B$116),0)</f>
        <v>0</v>
      </c>
      <c r="D132" s="545">
        <f ca="1"/>
        <v>0</v>
      </c>
      <c r="E132" s="545">
        <f ca="1"/>
        <v>0</v>
      </c>
      <c r="F132" s="545">
        <f ca="1"/>
        <v>0</v>
      </c>
      <c r="G132" s="545">
        <f ca="1"/>
        <v>0</v>
      </c>
      <c r="H132" s="545">
        <f ca="1"/>
        <v>0</v>
      </c>
      <c r="K132" s="486" t="s">
        <v>127</v>
      </c>
      <c r="L132" s="512">
        <v>0.63414522275344942</v>
      </c>
      <c r="M132" s="115" t="s">
        <v>122</v>
      </c>
      <c r="N132" s="510">
        <v>0.3553322467958171</v>
      </c>
      <c r="O132" s="57"/>
      <c r="P132" s="61"/>
      <c r="Q132" s="539"/>
      <c r="Y132" s="22"/>
      <c r="Z132" s="80"/>
      <c r="AA132" s="22"/>
      <c r="AI132" s="22"/>
      <c r="AJ132" s="80"/>
      <c r="AK132" s="22"/>
      <c r="AT132" s="22"/>
      <c r="AU132" s="80"/>
      <c r="AV132" s="22"/>
      <c r="BP132" s="75"/>
      <c r="BR132" s="114"/>
      <c r="BS132" s="80" t="s">
        <v>122</v>
      </c>
      <c r="BT132" s="22"/>
      <c r="CB132" s="49"/>
      <c r="CC132" s="114"/>
      <c r="CD132" s="80" t="s">
        <v>122</v>
      </c>
      <c r="CE132" s="22"/>
      <c r="CM132" s="49"/>
      <c r="CN132" s="114"/>
      <c r="CO132" s="80" t="s">
        <v>122</v>
      </c>
      <c r="CP132" s="22"/>
      <c r="CY132" s="114"/>
      <c r="CZ132" s="80" t="s">
        <v>122</v>
      </c>
      <c r="DA132" s="22"/>
      <c r="DI132" s="49"/>
    </row>
    <row r="133" spans="1:113" x14ac:dyDescent="0.25">
      <c r="A133" s="15">
        <v>3</v>
      </c>
      <c r="B133" s="98" t="str">
        <f t="shared" ca="1" si="204"/>
        <v>Febrero</v>
      </c>
      <c r="C133" s="545">
        <f t="array" aca="1" ref="C133:H133" ca="1">IFERROR(ROUND(TRANSPOSE(Q145:Q150),$B$116),0)</f>
        <v>0</v>
      </c>
      <c r="D133" s="545">
        <f ca="1"/>
        <v>0</v>
      </c>
      <c r="E133" s="545">
        <f ca="1"/>
        <v>0</v>
      </c>
      <c r="F133" s="545">
        <f ca="1"/>
        <v>0</v>
      </c>
      <c r="G133" s="545">
        <f ca="1"/>
        <v>0</v>
      </c>
      <c r="H133" s="545">
        <f ca="1"/>
        <v>0</v>
      </c>
      <c r="K133" s="80"/>
      <c r="N133" s="28"/>
      <c r="O133" s="17"/>
      <c r="Q133" s="539"/>
      <c r="Z133" s="28"/>
      <c r="AA133" s="17"/>
      <c r="AJ133" s="28"/>
      <c r="AK133" s="17"/>
      <c r="AU133" s="28"/>
      <c r="AV133" s="17"/>
      <c r="BP133" s="43"/>
      <c r="BQ133" s="49"/>
      <c r="BR133" s="43"/>
      <c r="BS133" s="28" t="s">
        <v>159</v>
      </c>
      <c r="BT133" s="17"/>
      <c r="CB133" s="49"/>
      <c r="CC133" s="43"/>
      <c r="CD133" s="28" t="s">
        <v>159</v>
      </c>
      <c r="CE133" s="17"/>
      <c r="CM133" s="49"/>
      <c r="CN133" s="43"/>
      <c r="CO133" s="28" t="s">
        <v>159</v>
      </c>
      <c r="CP133" s="17"/>
      <c r="CY133" s="43"/>
      <c r="CZ133" s="28" t="s">
        <v>159</v>
      </c>
      <c r="DA133" s="17"/>
      <c r="DI133" s="49"/>
    </row>
    <row r="134" spans="1:113" ht="15.75" thickBot="1" x14ac:dyDescent="0.3">
      <c r="A134" s="15">
        <v>4</v>
      </c>
      <c r="B134" s="98" t="str">
        <f t="shared" ca="1" si="204"/>
        <v>Marzo</v>
      </c>
      <c r="C134" s="545">
        <f t="array" aca="1" ref="C134:H134" ca="1">IFERROR(ROUND(TRANSPOSE(Q171:Q176),$B$116),0)</f>
        <v>0</v>
      </c>
      <c r="D134" s="545">
        <f ca="1"/>
        <v>0</v>
      </c>
      <c r="E134" s="545">
        <f ca="1"/>
        <v>0</v>
      </c>
      <c r="F134" s="545">
        <f ca="1"/>
        <v>0</v>
      </c>
      <c r="G134" s="545">
        <f ca="1"/>
        <v>0</v>
      </c>
      <c r="H134" s="545">
        <f ca="1"/>
        <v>0</v>
      </c>
      <c r="K134" s="80"/>
      <c r="N134" s="80"/>
      <c r="Q134" s="539"/>
      <c r="Z134" s="80"/>
      <c r="AA134" s="17"/>
      <c r="AJ134" s="80"/>
      <c r="AK134" s="17"/>
      <c r="AU134" s="80"/>
      <c r="AV134" s="17"/>
      <c r="BP134" s="57"/>
      <c r="BQ134" s="61"/>
      <c r="BR134" s="57"/>
      <c r="BS134" s="115" t="s">
        <v>161</v>
      </c>
      <c r="BT134" s="58"/>
      <c r="BU134" s="58"/>
      <c r="BV134" s="58"/>
      <c r="BW134" s="58"/>
      <c r="BX134" s="58"/>
      <c r="BY134" s="58"/>
      <c r="BZ134" s="58"/>
      <c r="CA134" s="58"/>
      <c r="CB134" s="61"/>
      <c r="CC134" s="57"/>
      <c r="CD134" s="115" t="s">
        <v>161</v>
      </c>
      <c r="CE134" s="84"/>
      <c r="CF134" s="58"/>
      <c r="CG134" s="58"/>
      <c r="CH134" s="58"/>
      <c r="CI134" s="58"/>
      <c r="CJ134" s="58"/>
      <c r="CK134" s="58"/>
      <c r="CL134" s="58"/>
      <c r="CM134" s="61"/>
      <c r="CN134" s="57"/>
      <c r="CO134" s="115" t="s">
        <v>161</v>
      </c>
      <c r="CP134" s="84"/>
      <c r="CQ134" s="58"/>
      <c r="CR134" s="58"/>
      <c r="CS134" s="58"/>
      <c r="CT134" s="58"/>
      <c r="CU134" s="58"/>
      <c r="CV134" s="58"/>
      <c r="CW134" s="58"/>
      <c r="CX134" s="58"/>
      <c r="CY134" s="57"/>
      <c r="CZ134" s="115" t="s">
        <v>161</v>
      </c>
      <c r="DA134" s="84"/>
      <c r="DB134" s="58"/>
      <c r="DC134" s="58"/>
      <c r="DD134" s="58"/>
      <c r="DE134" s="58"/>
      <c r="DF134" s="58"/>
      <c r="DG134" s="58"/>
      <c r="DH134" s="58"/>
      <c r="DI134" s="61"/>
    </row>
    <row r="135" spans="1:113" ht="15.75" thickBot="1" x14ac:dyDescent="0.3">
      <c r="A135" s="15">
        <v>5</v>
      </c>
      <c r="B135" s="98" t="str">
        <f t="shared" ca="1" si="204"/>
        <v>Abril</v>
      </c>
      <c r="C135" s="545">
        <f t="array" aca="1" ref="C135:H135" ca="1">IFERROR(ROUND(TRANSPOSE(Q197:Q202),$B$116),0)</f>
        <v>0</v>
      </c>
      <c r="D135" s="545">
        <f ca="1"/>
        <v>0</v>
      </c>
      <c r="E135" s="545">
        <f ca="1"/>
        <v>0</v>
      </c>
      <c r="F135" s="545">
        <f ca="1"/>
        <v>0</v>
      </c>
      <c r="G135" s="545">
        <f ca="1"/>
        <v>0</v>
      </c>
      <c r="H135" s="545">
        <f ca="1"/>
        <v>0</v>
      </c>
      <c r="K135" s="516" t="s">
        <v>179</v>
      </c>
      <c r="L135" s="30">
        <v>2</v>
      </c>
      <c r="M135" s="110" t="str">
        <f>VLOOKUP(L135,Aux!$AL$72:$AM$83,2,FALSE)</f>
        <v>Febrero</v>
      </c>
      <c r="N135" s="32"/>
      <c r="O135" s="32"/>
      <c r="P135" s="32"/>
      <c r="Q135" s="540"/>
      <c r="R135" s="32"/>
      <c r="S135" s="32"/>
      <c r="T135" s="32"/>
      <c r="U135" s="32"/>
      <c r="V135" s="32"/>
      <c r="W135" s="32"/>
      <c r="X135" s="32"/>
      <c r="Y135" s="32"/>
      <c r="Z135" s="32"/>
      <c r="AA135" s="33"/>
    </row>
    <row r="136" spans="1:113" ht="15.75" thickBot="1" x14ac:dyDescent="0.3">
      <c r="A136" s="15">
        <v>6</v>
      </c>
      <c r="B136" s="98" t="str">
        <f t="shared" ca="1" si="204"/>
        <v>Mayo</v>
      </c>
      <c r="C136" s="545">
        <f t="array" aca="1" ref="C136:H136" ca="1">IFERROR(ROUND(TRANSPOSE(Q223:Q228),$B$116),0)</f>
        <v>0</v>
      </c>
      <c r="D136" s="545">
        <f ca="1"/>
        <v>0</v>
      </c>
      <c r="E136" s="545">
        <f ca="1"/>
        <v>0</v>
      </c>
      <c r="F136" s="545">
        <f ca="1"/>
        <v>0</v>
      </c>
      <c r="G136" s="545">
        <f ca="1"/>
        <v>0</v>
      </c>
      <c r="H136" s="545">
        <f ca="1"/>
        <v>0</v>
      </c>
      <c r="K136" s="42" t="s">
        <v>120</v>
      </c>
      <c r="L136" s="41" t="s">
        <v>121</v>
      </c>
      <c r="M136" s="515" t="s">
        <v>265</v>
      </c>
      <c r="N136" s="35" t="s">
        <v>146</v>
      </c>
      <c r="O136" s="35" t="s">
        <v>806</v>
      </c>
      <c r="P136" s="35" t="s">
        <v>167</v>
      </c>
      <c r="Q136" s="35" t="s">
        <v>807</v>
      </c>
      <c r="R136" s="35" t="s">
        <v>783</v>
      </c>
      <c r="S136" s="532" t="s">
        <v>170</v>
      </c>
      <c r="T136" s="40" t="s">
        <v>178</v>
      </c>
      <c r="U136" s="40" t="s">
        <v>169</v>
      </c>
      <c r="V136" s="40" t="s">
        <v>168</v>
      </c>
      <c r="W136" s="40" t="s">
        <v>175</v>
      </c>
      <c r="X136" s="41" t="s">
        <v>176</v>
      </c>
      <c r="AB136" s="80"/>
      <c r="AG136" s="80"/>
      <c r="AH136" s="17"/>
      <c r="AI136" s="17"/>
      <c r="AJ136" s="80"/>
      <c r="AK136" s="22"/>
      <c r="AM136" s="80"/>
      <c r="AN136" s="80"/>
      <c r="AO136" s="80"/>
      <c r="AP136" s="80"/>
      <c r="AQ136" s="80"/>
      <c r="AR136" s="80"/>
      <c r="AS136" s="17"/>
      <c r="AT136" s="17"/>
      <c r="AU136" s="80"/>
      <c r="AV136" s="22"/>
      <c r="AX136" s="80"/>
      <c r="AY136" s="80"/>
      <c r="AZ136" s="80"/>
      <c r="BA136" s="80"/>
      <c r="BB136" s="80"/>
      <c r="BC136" s="80"/>
      <c r="BD136" s="17"/>
      <c r="BP136" s="29" t="s">
        <v>179</v>
      </c>
      <c r="BQ136" s="30">
        <v>3</v>
      </c>
      <c r="BR136" s="110"/>
      <c r="BS136" s="34" t="s">
        <v>163</v>
      </c>
      <c r="BT136" s="31">
        <f ca="1">P_sat_i_VN_C1*VLOOKUP(1,φi[],2,FALSE)</f>
        <v>1519.0182434715223</v>
      </c>
      <c r="BU136" s="32"/>
      <c r="BV136" s="32"/>
      <c r="BW136" s="32"/>
      <c r="BX136" s="32"/>
      <c r="BY136" s="32"/>
      <c r="BZ136" s="32"/>
      <c r="CA136" s="34" t="s">
        <v>267</v>
      </c>
      <c r="CB136" s="30">
        <f>VLOOKUP(1,φi[],2,FALSE)</f>
        <v>0.65</v>
      </c>
      <c r="CC136" s="110"/>
      <c r="CD136" s="34" t="s">
        <v>164</v>
      </c>
      <c r="CE136" s="31">
        <f ca="1">P_sat_i_VN_C1*VLOOKUP(2,φi[],2,FALSE)</f>
        <v>1752.7133578517564</v>
      </c>
      <c r="CF136" s="34"/>
      <c r="CG136" s="34"/>
      <c r="CH136" s="32"/>
      <c r="CI136" s="32"/>
      <c r="CJ136" s="32"/>
      <c r="CK136" s="32"/>
      <c r="CL136" s="34" t="s">
        <v>268</v>
      </c>
      <c r="CM136" s="30">
        <f>VLOOKUP(2,φi[],2,FALSE)</f>
        <v>0.75</v>
      </c>
      <c r="CN136" s="110"/>
      <c r="CO136" s="34" t="s">
        <v>165</v>
      </c>
      <c r="CP136" s="31">
        <f ca="1">P_sat_i_VN_C1*VLOOKUP(3,φi[],2,FALSE)</f>
        <v>1869.5609150418736</v>
      </c>
      <c r="CQ136" s="32"/>
      <c r="CR136" s="34"/>
      <c r="CS136" s="34"/>
      <c r="CT136" s="34"/>
      <c r="CU136" s="34"/>
      <c r="CV136" s="34"/>
      <c r="CW136" s="34" t="s">
        <v>269</v>
      </c>
      <c r="CX136" s="116">
        <f>VLOOKUP(3,φi[],2,FALSE)</f>
        <v>0.8</v>
      </c>
      <c r="CY136" s="110"/>
      <c r="CZ136" s="34" t="s">
        <v>166</v>
      </c>
      <c r="DA136" s="31">
        <f ca="1">P_sat_i_VN_C1*Seccion1!φi_C1</f>
        <v>747.82436601674965</v>
      </c>
      <c r="DB136" s="32"/>
      <c r="DC136" s="34"/>
      <c r="DD136" s="34"/>
      <c r="DE136" s="34"/>
      <c r="DF136" s="34"/>
      <c r="DG136" s="34"/>
      <c r="DH136" s="34" t="s">
        <v>154</v>
      </c>
      <c r="DI136" s="30"/>
    </row>
    <row r="137" spans="1:113" x14ac:dyDescent="0.25">
      <c r="A137" s="15">
        <v>7</v>
      </c>
      <c r="B137" s="98" t="str">
        <f t="shared" ca="1" si="204"/>
        <v>Junio</v>
      </c>
      <c r="C137" s="545">
        <f t="array" aca="1" ref="C137:H137" ca="1">IFERROR(ROUND(TRANSPOSE(Q249:Q254),$B$116),0)</f>
        <v>0</v>
      </c>
      <c r="D137" s="545">
        <f ca="1"/>
        <v>0</v>
      </c>
      <c r="E137" s="545">
        <f ca="1"/>
        <v>0</v>
      </c>
      <c r="F137" s="545">
        <f ca="1"/>
        <v>0</v>
      </c>
      <c r="G137" s="545">
        <f ca="1"/>
        <v>0</v>
      </c>
      <c r="H137" s="545">
        <f ca="1"/>
        <v>0</v>
      </c>
      <c r="J137" s="517"/>
      <c r="K137" s="46">
        <v>0</v>
      </c>
      <c r="L137" s="47">
        <v>610.5</v>
      </c>
      <c r="M137" s="54"/>
      <c r="N137" s="44" t="s">
        <v>107</v>
      </c>
      <c r="O137" s="44" t="e">
        <v>#N/A</v>
      </c>
      <c r="P137" s="44" t="e">
        <v>#N/A</v>
      </c>
      <c r="Q137" s="541"/>
      <c r="R137" s="44"/>
      <c r="S137" s="533"/>
      <c r="T137" s="44"/>
      <c r="U137" s="44"/>
      <c r="V137" s="44"/>
      <c r="W137" s="44"/>
      <c r="X137" s="531"/>
      <c r="AB137" s="35"/>
      <c r="AC137" s="35"/>
      <c r="AD137" s="35"/>
      <c r="AE137" s="35"/>
      <c r="AF137" s="35"/>
      <c r="AG137" s="35"/>
      <c r="AH137" s="35"/>
      <c r="AI137" s="511"/>
      <c r="AJ137" s="35"/>
      <c r="AK137" s="35"/>
      <c r="AL137" s="35"/>
      <c r="AM137" s="35"/>
      <c r="AN137" s="35"/>
      <c r="AO137" s="35"/>
      <c r="AP137" s="35"/>
      <c r="AQ137" s="35"/>
      <c r="AR137" s="35"/>
      <c r="AS137" s="35"/>
      <c r="AT137" s="511"/>
      <c r="AU137" s="35"/>
      <c r="AV137" s="35"/>
      <c r="AW137" s="35"/>
      <c r="AX137" s="35"/>
      <c r="AY137" s="35"/>
      <c r="AZ137" s="35"/>
      <c r="BA137" s="35"/>
      <c r="BB137" s="35"/>
      <c r="BC137" s="35"/>
      <c r="BD137" s="35"/>
      <c r="BP137" s="42" t="s">
        <v>120</v>
      </c>
      <c r="BQ137" s="41" t="s">
        <v>121</v>
      </c>
      <c r="BR137" s="42" t="s">
        <v>265</v>
      </c>
      <c r="BS137" s="40" t="s">
        <v>146</v>
      </c>
      <c r="BT137" s="40" t="s">
        <v>147</v>
      </c>
      <c r="BU137" s="40" t="s">
        <v>170</v>
      </c>
      <c r="BV137" s="40" t="s">
        <v>178</v>
      </c>
      <c r="BW137" s="40" t="s">
        <v>169</v>
      </c>
      <c r="BX137" s="40" t="s">
        <v>168</v>
      </c>
      <c r="BY137" s="40" t="s">
        <v>175</v>
      </c>
      <c r="BZ137" s="40" t="s">
        <v>176</v>
      </c>
      <c r="CA137" s="40" t="s">
        <v>167</v>
      </c>
      <c r="CB137" s="41" t="s">
        <v>266</v>
      </c>
      <c r="CC137" s="42" t="s">
        <v>265</v>
      </c>
      <c r="CD137" s="40" t="s">
        <v>148</v>
      </c>
      <c r="CE137" s="40" t="s">
        <v>149</v>
      </c>
      <c r="CF137" s="40" t="s">
        <v>170</v>
      </c>
      <c r="CG137" s="40" t="s">
        <v>178</v>
      </c>
      <c r="CH137" s="40" t="s">
        <v>169</v>
      </c>
      <c r="CI137" s="40" t="s">
        <v>168</v>
      </c>
      <c r="CJ137" s="40" t="s">
        <v>175</v>
      </c>
      <c r="CK137" s="40" t="s">
        <v>176</v>
      </c>
      <c r="CL137" s="40" t="s">
        <v>171</v>
      </c>
      <c r="CM137" s="41" t="s">
        <v>266</v>
      </c>
      <c r="CN137" s="42" t="s">
        <v>265</v>
      </c>
      <c r="CO137" s="40" t="s">
        <v>150</v>
      </c>
      <c r="CP137" s="40" t="s">
        <v>151</v>
      </c>
      <c r="CQ137" s="40" t="s">
        <v>170</v>
      </c>
      <c r="CR137" s="40" t="s">
        <v>178</v>
      </c>
      <c r="CS137" s="40" t="s">
        <v>169</v>
      </c>
      <c r="CT137" s="40" t="s">
        <v>168</v>
      </c>
      <c r="CU137" s="40" t="s">
        <v>175</v>
      </c>
      <c r="CV137" s="40" t="s">
        <v>176</v>
      </c>
      <c r="CW137" s="40" t="s">
        <v>172</v>
      </c>
      <c r="CX137" s="41" t="s">
        <v>266</v>
      </c>
      <c r="CY137" s="42" t="s">
        <v>265</v>
      </c>
      <c r="CZ137" s="40" t="s">
        <v>152</v>
      </c>
      <c r="DA137" s="40" t="s">
        <v>153</v>
      </c>
      <c r="DB137" s="40" t="s">
        <v>170</v>
      </c>
      <c r="DC137" s="40" t="s">
        <v>178</v>
      </c>
      <c r="DD137" s="40" t="s">
        <v>169</v>
      </c>
      <c r="DE137" s="40" t="s">
        <v>168</v>
      </c>
      <c r="DF137" s="40" t="s">
        <v>175</v>
      </c>
      <c r="DG137" s="40" t="s">
        <v>176</v>
      </c>
      <c r="DH137" s="40" t="s">
        <v>177</v>
      </c>
      <c r="DI137" s="41" t="s">
        <v>266</v>
      </c>
    </row>
    <row r="138" spans="1:113" x14ac:dyDescent="0.25">
      <c r="A138" s="15">
        <v>8</v>
      </c>
      <c r="B138" s="98" t="str">
        <f t="shared" ca="1" si="204"/>
        <v>Julio</v>
      </c>
      <c r="C138" s="545">
        <f t="array" aca="1" ref="C138:H138" ca="1">IFERROR(ROUND(TRANSPOSE(Q275:Q280),$B$116),0)</f>
        <v>0</v>
      </c>
      <c r="D138" s="545">
        <f ca="1"/>
        <v>0</v>
      </c>
      <c r="E138" s="545">
        <f ca="1"/>
        <v>0</v>
      </c>
      <c r="F138" s="545">
        <f ca="1"/>
        <v>0</v>
      </c>
      <c r="G138" s="545">
        <f ca="1"/>
        <v>0</v>
      </c>
      <c r="H138" s="545">
        <f ca="1"/>
        <v>0</v>
      </c>
      <c r="J138" s="517"/>
      <c r="K138" s="53">
        <v>0.11569052783803327</v>
      </c>
      <c r="L138" s="47">
        <v>615.65905103759292</v>
      </c>
      <c r="M138" s="54">
        <v>-2.459409584895329</v>
      </c>
      <c r="N138" s="55">
        <v>512.81999999999994</v>
      </c>
      <c r="O138" s="55">
        <v>0</v>
      </c>
      <c r="P138" s="50">
        <f t="shared" ref="P138:P150" ca="1" si="205">IF(ISNA(T138),
_xlfn.FORECAST.LINEAR($J60,INDIRECT(W138),INDIRECT(X138)),T138)</f>
        <v>512.81999999999994</v>
      </c>
      <c r="Q138" s="514"/>
      <c r="R138" s="50"/>
      <c r="S138" s="535">
        <f t="array" ref="S138">SUM(IF(ISNUMBER(T$138:T138),1,0))+IF($J138&gt;Capas_VN_C1,1,0)</f>
        <v>1</v>
      </c>
      <c r="T138" s="50">
        <f>IF(O138=1,$L138,L155)</f>
        <v>512.81999999999994</v>
      </c>
      <c r="U138" s="50">
        <f t="shared" ref="U138:U150" si="206">VLOOKUP($J139,$S$138:$T$150,2,FALSE)</f>
        <v>512.81999999999994</v>
      </c>
      <c r="V138" s="50">
        <f t="shared" ref="V138:V150" si="207">INDEX($J$60:$J$72,MATCH(U138,T$138:T$150,0))</f>
        <v>0</v>
      </c>
      <c r="W138" s="50" t="str">
        <f t="shared" ref="W138:W150" si="208">CONCATENATE(ADDRESS(ROW(U$138)-1+S138,COLUMN(U$138)),":",ADDRESS(ROW(U$138)+S138,COLUMN(U$138)))</f>
        <v>$U$138:$U$139</v>
      </c>
      <c r="X138" s="214" t="str">
        <f t="shared" ref="X138:X150" si="209">CONCATENATE(ADDRESS(ROW(V$138)-1+S138,COLUMN(V$138)),":",ADDRESS(ROW(V$138)+S138,COLUMN(V$138)))</f>
        <v>$V$138:$V$139</v>
      </c>
      <c r="AC138" s="48"/>
      <c r="AD138" s="48"/>
      <c r="AE138" s="48"/>
      <c r="AF138" s="48"/>
      <c r="AI138" s="51"/>
      <c r="AJ138" s="44"/>
      <c r="AK138" s="44"/>
      <c r="AN138" s="48"/>
      <c r="AO138" s="48"/>
      <c r="AP138" s="48"/>
      <c r="AQ138" s="48"/>
      <c r="AT138" s="51"/>
      <c r="AU138" s="44"/>
      <c r="AV138" s="44"/>
      <c r="AY138" s="48"/>
      <c r="AZ138" s="48"/>
      <c r="BA138" s="48"/>
      <c r="BB138" s="48"/>
      <c r="BP138" s="46"/>
      <c r="BQ138" s="52"/>
      <c r="BR138" s="54"/>
      <c r="BS138" s="44"/>
      <c r="BT138" s="44"/>
      <c r="BW138" s="48"/>
      <c r="BX138" s="48"/>
      <c r="BY138" s="48"/>
      <c r="BZ138" s="48"/>
      <c r="CB138" s="49"/>
      <c r="CC138" s="54"/>
      <c r="CD138" s="44"/>
      <c r="CE138" s="44"/>
      <c r="CH138" s="48"/>
      <c r="CI138" s="48"/>
      <c r="CJ138" s="48"/>
      <c r="CK138" s="48"/>
      <c r="CM138" s="49"/>
      <c r="CN138" s="54"/>
      <c r="CO138" s="44"/>
      <c r="CP138" s="44"/>
      <c r="CS138" s="48"/>
      <c r="CT138" s="48"/>
      <c r="CU138" s="48"/>
      <c r="CV138" s="48"/>
      <c r="CY138" s="54"/>
      <c r="CZ138" s="44"/>
      <c r="DA138" s="44"/>
      <c r="DD138" s="48"/>
      <c r="DE138" s="48"/>
      <c r="DF138" s="48"/>
      <c r="DG138" s="48"/>
      <c r="DI138" s="49"/>
    </row>
    <row r="139" spans="1:113" x14ac:dyDescent="0.25">
      <c r="A139" s="15">
        <v>9</v>
      </c>
      <c r="B139" s="98" t="str">
        <f t="shared" ca="1" si="204"/>
        <v>Agosto</v>
      </c>
      <c r="C139" s="545">
        <f t="array" aca="1" ref="C139:H139" ca="1">IFERROR(ROUND(TRANSPOSE(Q301:Q306),$B$116),0)</f>
        <v>0</v>
      </c>
      <c r="D139" s="545">
        <f ca="1"/>
        <v>0</v>
      </c>
      <c r="E139" s="545">
        <f ca="1"/>
        <v>0</v>
      </c>
      <c r="F139" s="545">
        <f ca="1"/>
        <v>0</v>
      </c>
      <c r="G139" s="545">
        <f ca="1"/>
        <v>0</v>
      </c>
      <c r="H139" s="545">
        <f ca="1"/>
        <v>0</v>
      </c>
      <c r="J139" s="15">
        <v>1</v>
      </c>
      <c r="K139" s="53">
        <v>0.26030368763557482</v>
      </c>
      <c r="L139" s="47">
        <v>622.1620448783143</v>
      </c>
      <c r="M139" s="54">
        <v>7.8021186510318152</v>
      </c>
      <c r="N139" s="55">
        <v>1056.470517652361</v>
      </c>
      <c r="O139" s="55">
        <f t="array" aca="1" ref="O139:O150" ca="1">IF((N139:N150&gt;=L139:L150)+(R113:R124&gt;0),1,0)</f>
        <v>1</v>
      </c>
      <c r="P139" s="50">
        <f t="shared" ca="1" si="205"/>
        <v>622.1620448783143</v>
      </c>
      <c r="Q139" s="534">
        <f ca="1">IF(O139=1,δ_0*(SLOPE(INDIRECT(VLOOKUP(S139,$S$138:$X$150,5,FALSE)),INDIRECT(VLOOKUP(S139,$S$138:$X$150,6,FALSE)))-SLOPE(INDIRECT(VLOOKUP(S139-1,$S$138:$X$150,5,FALSE)),INDIRECT(VLOOKUP(S139-1,$S$138:$X$150,6,FALSE)))),0)*86400*VLOOKUP($L$135,Aux!$AL$72:$AN$83,3,FALSE)</f>
        <v>2.3750072309065812E-4</v>
      </c>
      <c r="R139" s="534">
        <f ca="1">IFERROR(IF(Q139+R113&lt;0,0,Q139+R113),0)</f>
        <v>7.6808706125903407E-4</v>
      </c>
      <c r="S139" s="535">
        <f t="array" aca="1" ref="S139" ca="1">SUM(IF(ISNUMBER(T$138:T139),1,0))+IF($J139&gt;Capas_VN_C1,1,0)</f>
        <v>2</v>
      </c>
      <c r="T139" s="50">
        <f t="shared" ref="T139:T150" ca="1" si="210">IF(O139=1,$L139,IF(J139=Capas_VN_C1,$N$155,NA()))</f>
        <v>622.1620448783143</v>
      </c>
      <c r="U139" s="50">
        <f t="shared" ca="1" si="206"/>
        <v>622.1620448783143</v>
      </c>
      <c r="V139" s="50">
        <f t="shared" ca="1" si="207"/>
        <v>5000</v>
      </c>
      <c r="W139" s="50" t="str">
        <f t="shared" ca="1" si="208"/>
        <v>$U$139:$U$140</v>
      </c>
      <c r="X139" s="214" t="str">
        <f t="shared" ca="1" si="209"/>
        <v>$V$139:$V$140</v>
      </c>
      <c r="AB139" s="51"/>
      <c r="AC139" s="51"/>
      <c r="AD139" s="51"/>
      <c r="AE139" s="48"/>
      <c r="AF139" s="48"/>
      <c r="AG139" s="50"/>
      <c r="AH139" s="50"/>
      <c r="AI139" s="51"/>
      <c r="AJ139" s="50"/>
      <c r="AK139" s="55"/>
      <c r="AL139" s="55"/>
      <c r="AM139" s="51"/>
      <c r="AN139" s="51"/>
      <c r="AO139" s="51"/>
      <c r="AP139" s="48"/>
      <c r="AQ139" s="48"/>
      <c r="AR139" s="50"/>
      <c r="AS139" s="50"/>
      <c r="AT139" s="51"/>
      <c r="AU139" s="50"/>
      <c r="AV139" s="55"/>
      <c r="AW139" s="55"/>
      <c r="AX139" s="50"/>
      <c r="AY139" s="51"/>
      <c r="AZ139" s="51"/>
      <c r="BA139" s="48"/>
      <c r="BB139" s="48"/>
      <c r="BC139" s="50"/>
      <c r="BD139" s="50"/>
      <c r="BP139" s="53"/>
      <c r="BQ139" s="52"/>
      <c r="BR139" s="54"/>
      <c r="BS139" s="50"/>
      <c r="BT139" s="55"/>
      <c r="BU139" s="55"/>
      <c r="BV139" s="51"/>
      <c r="BW139" s="51"/>
      <c r="BX139" s="51"/>
      <c r="BY139" s="48"/>
      <c r="BZ139" s="48"/>
      <c r="CA139" s="50"/>
      <c r="CB139" s="52"/>
      <c r="CC139" s="54"/>
      <c r="CD139" s="50"/>
      <c r="CE139" s="55"/>
      <c r="CF139" s="55"/>
      <c r="CG139" s="51"/>
      <c r="CH139" s="51"/>
      <c r="CI139" s="51"/>
      <c r="CJ139" s="48"/>
      <c r="CK139" s="48"/>
      <c r="CL139" s="50"/>
      <c r="CM139" s="52"/>
      <c r="CN139" s="54"/>
      <c r="CO139" s="50"/>
      <c r="CP139" s="55"/>
      <c r="CQ139" s="55"/>
      <c r="CR139" s="51"/>
      <c r="CS139" s="51"/>
      <c r="CT139" s="51"/>
      <c r="CU139" s="48"/>
      <c r="CV139" s="48"/>
      <c r="CW139" s="50"/>
      <c r="CX139" s="50"/>
      <c r="CY139" s="54"/>
      <c r="CZ139" s="50"/>
      <c r="DA139" s="55"/>
      <c r="DB139" s="55"/>
      <c r="DC139" s="50"/>
      <c r="DD139" s="51"/>
      <c r="DE139" s="51"/>
      <c r="DF139" s="48"/>
      <c r="DG139" s="48"/>
      <c r="DH139" s="50"/>
      <c r="DI139" s="52"/>
    </row>
    <row r="140" spans="1:113" x14ac:dyDescent="0.25">
      <c r="A140" s="15">
        <v>10</v>
      </c>
      <c r="B140" s="98" t="str">
        <f t="shared" ca="1" si="204"/>
        <v>Septiembre</v>
      </c>
      <c r="C140" s="545">
        <f t="array" aca="1" ref="C140:H140" ca="1">IFERROR(ROUND(TRANSPOSE(Q327:Q332),$B$116),0)</f>
        <v>0</v>
      </c>
      <c r="D140" s="545">
        <f ca="1"/>
        <v>0</v>
      </c>
      <c r="E140" s="545">
        <f ca="1"/>
        <v>0</v>
      </c>
      <c r="F140" s="545">
        <f ca="1"/>
        <v>0</v>
      </c>
      <c r="G140" s="545">
        <f ca="1"/>
        <v>0</v>
      </c>
      <c r="H140" s="545">
        <f ca="1"/>
        <v>0</v>
      </c>
      <c r="J140" s="15">
        <v>2</v>
      </c>
      <c r="K140" s="53">
        <v>8.9370932754880688</v>
      </c>
      <c r="L140" s="47">
        <v>1142.5877167962717</v>
      </c>
      <c r="M140" s="54">
        <v>7.8247959547559791</v>
      </c>
      <c r="N140" s="55">
        <v>1058.1014692053182</v>
      </c>
      <c r="O140" s="55">
        <f ca="1"/>
        <v>0</v>
      </c>
      <c r="P140" s="50">
        <f t="shared" ca="1" si="205"/>
        <v>629.85306466035308</v>
      </c>
      <c r="Q140" s="534">
        <f ca="1">IF(O140=1,δ_0*(SLOPE(INDIRECT(VLOOKUP(S140,$S$138:$X$150,5,FALSE)),INDIRECT(VLOOKUP(S140,$S$138:$X$150,6,FALSE)))-SLOPE(INDIRECT(VLOOKUP(S140-1,$S$138:$X$150,5,FALSE)),INDIRECT(VLOOKUP(S140-1,$S$138:$X$150,6,FALSE)))),0)*86400*VLOOKUP($L$135,Aux!$AL$72:$AN$83,3,FALSE)</f>
        <v>0</v>
      </c>
      <c r="R140" s="534">
        <f t="shared" ref="R140:R150" ca="1" si="211">IFERROR(IF(Q140+R114&lt;0,0,Q140+R114),0)</f>
        <v>0</v>
      </c>
      <c r="S140" s="535">
        <f t="array" aca="1" ref="S140" ca="1">SUM(IF(ISNUMBER(T$138:T140),1,0))+IF($J140&gt;Capas_VN_C1,1,0)</f>
        <v>2</v>
      </c>
      <c r="T140" s="50" t="e">
        <f t="shared" ca="1" si="210"/>
        <v>#N/A</v>
      </c>
      <c r="U140" s="50">
        <f t="shared" ca="1" si="206"/>
        <v>1142.5877167962717</v>
      </c>
      <c r="V140" s="50">
        <f t="shared" ca="1" si="207"/>
        <v>6015</v>
      </c>
      <c r="W140" s="50" t="str">
        <f t="shared" ca="1" si="208"/>
        <v>$U$139:$U$140</v>
      </c>
      <c r="X140" s="214" t="str">
        <f t="shared" ca="1" si="209"/>
        <v>$V$139:$V$140</v>
      </c>
      <c r="AB140" s="51"/>
      <c r="AC140" s="51"/>
      <c r="AD140" s="51"/>
      <c r="AE140" s="48"/>
      <c r="AF140" s="48"/>
      <c r="AG140" s="50"/>
      <c r="AH140" s="50"/>
      <c r="AI140" s="51"/>
      <c r="AJ140" s="50"/>
      <c r="AK140" s="55"/>
      <c r="AL140" s="55"/>
      <c r="AM140" s="51"/>
      <c r="AN140" s="51"/>
      <c r="AO140" s="51"/>
      <c r="AP140" s="48"/>
      <c r="AQ140" s="48"/>
      <c r="AR140" s="50"/>
      <c r="AS140" s="50"/>
      <c r="AT140" s="51"/>
      <c r="AU140" s="50"/>
      <c r="AV140" s="55"/>
      <c r="AW140" s="55"/>
      <c r="AX140" s="50"/>
      <c r="AY140" s="51"/>
      <c r="AZ140" s="51"/>
      <c r="BA140" s="48"/>
      <c r="BB140" s="48"/>
      <c r="BC140" s="50"/>
      <c r="BD140" s="50"/>
      <c r="BP140" s="53"/>
      <c r="BQ140" s="52"/>
      <c r="BR140" s="54"/>
      <c r="BS140" s="50"/>
      <c r="BT140" s="55"/>
      <c r="BU140" s="55"/>
      <c r="BV140" s="51"/>
      <c r="BW140" s="51"/>
      <c r="BX140" s="51"/>
      <c r="BY140" s="48"/>
      <c r="BZ140" s="48"/>
      <c r="CA140" s="50"/>
      <c r="CB140" s="52"/>
      <c r="CC140" s="54"/>
      <c r="CD140" s="50"/>
      <c r="CE140" s="55"/>
      <c r="CF140" s="55"/>
      <c r="CG140" s="51"/>
      <c r="CH140" s="51"/>
      <c r="CI140" s="51"/>
      <c r="CJ140" s="48"/>
      <c r="CK140" s="48"/>
      <c r="CL140" s="50"/>
      <c r="CM140" s="52"/>
      <c r="CN140" s="54"/>
      <c r="CO140" s="50"/>
      <c r="CP140" s="55"/>
      <c r="CQ140" s="55"/>
      <c r="CR140" s="51"/>
      <c r="CS140" s="51"/>
      <c r="CT140" s="51"/>
      <c r="CU140" s="48"/>
      <c r="CV140" s="48"/>
      <c r="CW140" s="50"/>
      <c r="CX140" s="50"/>
      <c r="CY140" s="54"/>
      <c r="CZ140" s="50"/>
      <c r="DA140" s="55"/>
      <c r="DB140" s="55"/>
      <c r="DC140" s="50"/>
      <c r="DD140" s="51"/>
      <c r="DE140" s="51"/>
      <c r="DF140" s="48"/>
      <c r="DG140" s="48"/>
      <c r="DH140" s="50"/>
      <c r="DI140" s="52"/>
    </row>
    <row r="141" spans="1:113" x14ac:dyDescent="0.25">
      <c r="A141" s="15">
        <v>11</v>
      </c>
      <c r="B141" s="98" t="str">
        <f t="shared" ca="1" si="204"/>
        <v>Octubre</v>
      </c>
      <c r="C141" s="545">
        <f t="array" aca="1" ref="C141:H141" ca="1">IFERROR(ROUND(TRANSPOSE(Q353:Q358),$B$116),0)</f>
        <v>0</v>
      </c>
      <c r="D141" s="545">
        <f ca="1"/>
        <v>0</v>
      </c>
      <c r="E141" s="545">
        <f ca="1"/>
        <v>0</v>
      </c>
      <c r="F141" s="545">
        <f ca="1"/>
        <v>0</v>
      </c>
      <c r="G141" s="545">
        <f ca="1"/>
        <v>0</v>
      </c>
      <c r="H141" s="545">
        <f ca="1"/>
        <v>0</v>
      </c>
      <c r="J141" s="15">
        <v>3</v>
      </c>
      <c r="K141" s="53">
        <v>8.9370932754880688</v>
      </c>
      <c r="L141" s="47">
        <v>1142.5877167962717</v>
      </c>
      <c r="M141" s="54">
        <v>9.2702872384443129</v>
      </c>
      <c r="N141" s="55">
        <v>1166.8315727357904</v>
      </c>
      <c r="O141" s="55">
        <f ca="1"/>
        <v>1</v>
      </c>
      <c r="P141" s="50">
        <f t="shared" ca="1" si="205"/>
        <v>1142.5877167962717</v>
      </c>
      <c r="Q141" s="534">
        <f ca="1">IF(O141=1,δ_0*(SLOPE(INDIRECT(VLOOKUP(S141,$S$138:$X$150,5,FALSE)),INDIRECT(VLOOKUP(S141,$S$138:$X$150,6,FALSE)))-SLOPE(INDIRECT(VLOOKUP(S141-1,$S$138:$X$150,5,FALSE)),INDIRECT(VLOOKUP(S141-1,$S$138:$X$150,6,FALSE)))),0)*86400*VLOOKUP($L$135,Aux!$AL$72:$AN$83,3,FALSE)</f>
        <v>5.8032982926733891E-4</v>
      </c>
      <c r="R141" s="534">
        <f t="shared" ca="1" si="211"/>
        <v>1.8808330744000863E-3</v>
      </c>
      <c r="S141" s="535">
        <f t="array" aca="1" ref="S141" ca="1">SUM(IF(ISNUMBER(T$138:T141),1,0))+IF($J141&gt;Capas_VN_C1,1,0)</f>
        <v>3</v>
      </c>
      <c r="T141" s="50">
        <f t="shared" ca="1" si="210"/>
        <v>1142.5877167962717</v>
      </c>
      <c r="U141" s="50">
        <f t="shared" ca="1" si="206"/>
        <v>1168.475571901171</v>
      </c>
      <c r="V141" s="50">
        <f t="shared" ca="1" si="207"/>
        <v>6030.12</v>
      </c>
      <c r="W141" s="50" t="str">
        <f t="shared" ca="1" si="208"/>
        <v>$U$140:$U$141</v>
      </c>
      <c r="X141" s="214" t="str">
        <f t="shared" ca="1" si="209"/>
        <v>$V$140:$V$141</v>
      </c>
      <c r="AB141" s="51"/>
      <c r="AC141" s="51"/>
      <c r="AD141" s="51"/>
      <c r="AE141" s="48"/>
      <c r="AF141" s="48"/>
      <c r="AG141" s="50"/>
      <c r="AH141" s="50"/>
      <c r="AI141" s="51"/>
      <c r="AJ141" s="50"/>
      <c r="AK141" s="55"/>
      <c r="AL141" s="55"/>
      <c r="AM141" s="51"/>
      <c r="AN141" s="51"/>
      <c r="AO141" s="51"/>
      <c r="AP141" s="48"/>
      <c r="AQ141" s="48"/>
      <c r="AR141" s="50"/>
      <c r="AS141" s="50"/>
      <c r="AT141" s="51"/>
      <c r="AU141" s="50"/>
      <c r="AV141" s="55"/>
      <c r="AW141" s="55"/>
      <c r="AX141" s="50"/>
      <c r="AY141" s="51"/>
      <c r="AZ141" s="51"/>
      <c r="BA141" s="48"/>
      <c r="BB141" s="48"/>
      <c r="BC141" s="50"/>
      <c r="BD141" s="50"/>
      <c r="BP141" s="53"/>
      <c r="BQ141" s="52"/>
      <c r="BR141" s="54"/>
      <c r="BS141" s="50"/>
      <c r="BT141" s="55"/>
      <c r="BU141" s="55"/>
      <c r="BV141" s="51"/>
      <c r="BW141" s="51"/>
      <c r="BX141" s="51"/>
      <c r="BY141" s="48"/>
      <c r="BZ141" s="48"/>
      <c r="CA141" s="50"/>
      <c r="CB141" s="52"/>
      <c r="CC141" s="54"/>
      <c r="CD141" s="50"/>
      <c r="CE141" s="55"/>
      <c r="CF141" s="55"/>
      <c r="CG141" s="51"/>
      <c r="CH141" s="51"/>
      <c r="CI141" s="51"/>
      <c r="CJ141" s="48"/>
      <c r="CK141" s="48"/>
      <c r="CL141" s="50"/>
      <c r="CM141" s="52"/>
      <c r="CN141" s="54"/>
      <c r="CO141" s="50"/>
      <c r="CP141" s="55"/>
      <c r="CQ141" s="55"/>
      <c r="CR141" s="51"/>
      <c r="CS141" s="51"/>
      <c r="CT141" s="51"/>
      <c r="CU141" s="48"/>
      <c r="CV141" s="48"/>
      <c r="CW141" s="50"/>
      <c r="CX141" s="50"/>
      <c r="CY141" s="54"/>
      <c r="CZ141" s="50"/>
      <c r="DA141" s="55"/>
      <c r="DB141" s="55"/>
      <c r="DC141" s="50"/>
      <c r="DD141" s="51"/>
      <c r="DE141" s="51"/>
      <c r="DF141" s="48"/>
      <c r="DG141" s="48"/>
      <c r="DH141" s="50"/>
      <c r="DI141" s="52"/>
    </row>
    <row r="142" spans="1:113" x14ac:dyDescent="0.25">
      <c r="A142" s="15">
        <v>12</v>
      </c>
      <c r="B142" s="98" t="str">
        <f t="shared" ca="1" si="204"/>
        <v>Noviembre</v>
      </c>
      <c r="C142" s="545">
        <f t="array" aca="1" ref="C142:H142" ca="1">IFERROR(ROUND(TRANSPOSE(Q379:Q384),$B$116),0)</f>
        <v>0</v>
      </c>
      <c r="D142" s="545">
        <f ca="1"/>
        <v>0</v>
      </c>
      <c r="E142" s="545">
        <f ca="1"/>
        <v>0</v>
      </c>
      <c r="F142" s="545">
        <f ca="1"/>
        <v>0</v>
      </c>
      <c r="G142" s="545">
        <f ca="1"/>
        <v>0</v>
      </c>
      <c r="H142" s="545">
        <f ca="1"/>
        <v>0</v>
      </c>
      <c r="J142" s="15">
        <v>4</v>
      </c>
      <c r="K142" s="53">
        <v>19.493853940708608</v>
      </c>
      <c r="L142" s="47">
        <v>2264.7295287265592</v>
      </c>
      <c r="M142" s="54">
        <v>9.2910369827415416</v>
      </c>
      <c r="N142" s="55">
        <v>1168.4625242887473</v>
      </c>
      <c r="O142" s="55">
        <f ca="1"/>
        <v>0</v>
      </c>
      <c r="P142" s="50">
        <f t="shared" ca="1" si="205"/>
        <v>1168.2701127336713</v>
      </c>
      <c r="Q142" s="534">
        <f ca="1">IF(O142=1,δ_0*(SLOPE(INDIRECT(VLOOKUP(S142,$S$138:$X$150,5,FALSE)),INDIRECT(VLOOKUP(S142,$S$138:$X$150,6,FALSE)))-SLOPE(INDIRECT(VLOOKUP(S142-1,$S$138:$X$150,5,FALSE)),INDIRECT(VLOOKUP(S142-1,$S$138:$X$150,6,FALSE)))),0)*86400*VLOOKUP($L$135,Aux!$AL$72:$AN$83,3,FALSE)</f>
        <v>0</v>
      </c>
      <c r="R142" s="534">
        <f t="shared" ca="1" si="211"/>
        <v>0</v>
      </c>
      <c r="S142" s="535">
        <f t="array" aca="1" ref="S142" ca="1">SUM(IF(ISNUMBER(T$138:T142),1,0))+IF($J142&gt;Capas_VN_C1,1,0)</f>
        <v>3</v>
      </c>
      <c r="T142" s="50" t="e">
        <f t="shared" ca="1" si="210"/>
        <v>#N/A</v>
      </c>
      <c r="U142" s="50" t="e">
        <f t="shared" ca="1" si="206"/>
        <v>#N/A</v>
      </c>
      <c r="V142" s="50" t="e">
        <f t="shared" ca="1" si="207"/>
        <v>#N/A</v>
      </c>
      <c r="W142" s="50" t="str">
        <f t="shared" ca="1" si="208"/>
        <v>$U$140:$U$141</v>
      </c>
      <c r="X142" s="214" t="str">
        <f t="shared" ca="1" si="209"/>
        <v>$V$140:$V$141</v>
      </c>
      <c r="AB142" s="51"/>
      <c r="AC142" s="51"/>
      <c r="AD142" s="51"/>
      <c r="AE142" s="48"/>
      <c r="AF142" s="48"/>
      <c r="AG142" s="50"/>
      <c r="AH142" s="50"/>
      <c r="AI142" s="51"/>
      <c r="AJ142" s="50"/>
      <c r="AK142" s="55"/>
      <c r="AL142" s="55"/>
      <c r="AM142" s="51"/>
      <c r="AN142" s="51"/>
      <c r="AO142" s="51"/>
      <c r="AP142" s="48"/>
      <c r="AQ142" s="48"/>
      <c r="AR142" s="50"/>
      <c r="AS142" s="50"/>
      <c r="AT142" s="51"/>
      <c r="AU142" s="50"/>
      <c r="AV142" s="55"/>
      <c r="AW142" s="55"/>
      <c r="AX142" s="50"/>
      <c r="AY142" s="51"/>
      <c r="AZ142" s="51"/>
      <c r="BA142" s="48"/>
      <c r="BB142" s="48"/>
      <c r="BC142" s="50"/>
      <c r="BD142" s="50"/>
      <c r="BP142" s="53"/>
      <c r="BQ142" s="52"/>
      <c r="BR142" s="54"/>
      <c r="BS142" s="50"/>
      <c r="BT142" s="55"/>
      <c r="BU142" s="55"/>
      <c r="BV142" s="51"/>
      <c r="BW142" s="51"/>
      <c r="BX142" s="51"/>
      <c r="BY142" s="48"/>
      <c r="BZ142" s="48"/>
      <c r="CA142" s="50"/>
      <c r="CB142" s="52"/>
      <c r="CC142" s="54"/>
      <c r="CD142" s="50"/>
      <c r="CE142" s="55"/>
      <c r="CF142" s="55"/>
      <c r="CG142" s="51"/>
      <c r="CH142" s="51"/>
      <c r="CI142" s="51"/>
      <c r="CJ142" s="48"/>
      <c r="CK142" s="48"/>
      <c r="CL142" s="50"/>
      <c r="CM142" s="52"/>
      <c r="CN142" s="54"/>
      <c r="CO142" s="50"/>
      <c r="CP142" s="55"/>
      <c r="CQ142" s="55"/>
      <c r="CR142" s="51"/>
      <c r="CS142" s="51"/>
      <c r="CT142" s="51"/>
      <c r="CU142" s="48"/>
      <c r="CV142" s="48"/>
      <c r="CW142" s="50"/>
      <c r="CX142" s="50"/>
      <c r="CY142" s="54"/>
      <c r="CZ142" s="50"/>
      <c r="DA142" s="55"/>
      <c r="DB142" s="55"/>
      <c r="DC142" s="50"/>
      <c r="DD142" s="51"/>
      <c r="DE142" s="51"/>
      <c r="DF142" s="48"/>
      <c r="DG142" s="48"/>
      <c r="DH142" s="50"/>
      <c r="DI142" s="52"/>
    </row>
    <row r="143" spans="1:113" x14ac:dyDescent="0.25">
      <c r="J143" s="15">
        <v>5</v>
      </c>
      <c r="K143" s="53">
        <v>19.71077368040492</v>
      </c>
      <c r="L143" s="47">
        <v>2295.4390029191231</v>
      </c>
      <c r="M143" s="54">
        <v>9.2912028763491197</v>
      </c>
      <c r="N143" s="55">
        <v>1168.475571901171</v>
      </c>
      <c r="O143" s="55">
        <f ca="1"/>
        <v>0</v>
      </c>
      <c r="P143" s="50">
        <f t="shared" ca="1" si="205"/>
        <v>1168.475571901171</v>
      </c>
      <c r="Q143" s="534">
        <f ca="1">IF(O143=1,δ_0*(SLOPE(INDIRECT(VLOOKUP(S143,$S$138:$X$150,5,FALSE)),INDIRECT(VLOOKUP(S143,$S$138:$X$150,6,FALSE)))-SLOPE(INDIRECT(VLOOKUP(S143-1,$S$138:$X$150,5,FALSE)),INDIRECT(VLOOKUP(S143-1,$S$138:$X$150,6,FALSE)))),0)*86400*VLOOKUP($L$135,Aux!$AL$72:$AN$83,3,FALSE)</f>
        <v>0</v>
      </c>
      <c r="R143" s="534">
        <f t="shared" ca="1" si="211"/>
        <v>0</v>
      </c>
      <c r="S143" s="535">
        <f t="array" aca="1" ref="S143" ca="1">SUM(IF(ISNUMBER(T$138:T143),1,0))+IF($J143&gt;Capas_VN_C1,1,0)</f>
        <v>4</v>
      </c>
      <c r="T143" s="50">
        <f t="shared" ca="1" si="210"/>
        <v>1168.475571901171</v>
      </c>
      <c r="U143" s="50" t="e">
        <f t="shared" ca="1" si="206"/>
        <v>#N/A</v>
      </c>
      <c r="V143" s="50" t="e">
        <f t="shared" ca="1" si="207"/>
        <v>#N/A</v>
      </c>
      <c r="W143" s="50" t="str">
        <f t="shared" ca="1" si="208"/>
        <v>$U$141:$U$142</v>
      </c>
      <c r="X143" s="214" t="str">
        <f t="shared" ca="1" si="209"/>
        <v>$V$141:$V$142</v>
      </c>
      <c r="AB143" s="51"/>
      <c r="AC143" s="51"/>
      <c r="AD143" s="51"/>
      <c r="AE143" s="48"/>
      <c r="AF143" s="48"/>
      <c r="AG143" s="50"/>
      <c r="AH143" s="50"/>
      <c r="AI143" s="51"/>
      <c r="AJ143" s="50"/>
      <c r="AK143" s="55"/>
      <c r="AL143" s="55"/>
      <c r="AM143" s="51"/>
      <c r="AN143" s="51"/>
      <c r="AO143" s="51"/>
      <c r="AP143" s="48"/>
      <c r="AQ143" s="48"/>
      <c r="AR143" s="50"/>
      <c r="AS143" s="50"/>
      <c r="AT143" s="51"/>
      <c r="AU143" s="50"/>
      <c r="AV143" s="55"/>
      <c r="AW143" s="55"/>
      <c r="AX143" s="50"/>
      <c r="AY143" s="51"/>
      <c r="AZ143" s="51"/>
      <c r="BA143" s="48"/>
      <c r="BB143" s="48"/>
      <c r="BC143" s="50"/>
      <c r="BD143" s="50"/>
      <c r="BP143" s="53"/>
      <c r="BQ143" s="52"/>
      <c r="BR143" s="54"/>
      <c r="BS143" s="50"/>
      <c r="BT143" s="55"/>
      <c r="BU143" s="55"/>
      <c r="BV143" s="51"/>
      <c r="BW143" s="51"/>
      <c r="BX143" s="51"/>
      <c r="BY143" s="48"/>
      <c r="BZ143" s="48"/>
      <c r="CA143" s="50"/>
      <c r="CB143" s="52"/>
      <c r="CC143" s="54"/>
      <c r="CD143" s="50"/>
      <c r="CE143" s="55"/>
      <c r="CF143" s="55"/>
      <c r="CG143" s="51"/>
      <c r="CH143" s="51"/>
      <c r="CI143" s="51"/>
      <c r="CJ143" s="48"/>
      <c r="CK143" s="48"/>
      <c r="CL143" s="50"/>
      <c r="CM143" s="52"/>
      <c r="CN143" s="54"/>
      <c r="CO143" s="50"/>
      <c r="CP143" s="55"/>
      <c r="CQ143" s="55"/>
      <c r="CR143" s="51"/>
      <c r="CS143" s="51"/>
      <c r="CT143" s="51"/>
      <c r="CU143" s="48"/>
      <c r="CV143" s="48"/>
      <c r="CW143" s="50"/>
      <c r="CX143" s="50"/>
      <c r="CY143" s="54"/>
      <c r="CZ143" s="50"/>
      <c r="DA143" s="55"/>
      <c r="DB143" s="55"/>
      <c r="DC143" s="50"/>
      <c r="DD143" s="51"/>
      <c r="DE143" s="51"/>
      <c r="DF143" s="48"/>
      <c r="DG143" s="48"/>
      <c r="DH143" s="50"/>
      <c r="DI143" s="52"/>
    </row>
    <row r="144" spans="1:113" x14ac:dyDescent="0.25">
      <c r="C144" s="677" t="s">
        <v>808</v>
      </c>
      <c r="D144" s="677"/>
      <c r="E144" s="677"/>
      <c r="F144" s="677"/>
      <c r="G144" s="677"/>
      <c r="H144" s="677"/>
      <c r="J144" s="15">
        <v>6</v>
      </c>
      <c r="K144" s="53">
        <v>20</v>
      </c>
      <c r="L144" s="47">
        <v>2336.9511438023419</v>
      </c>
      <c r="M144" s="54" t="e">
        <v>#N/A</v>
      </c>
      <c r="N144" s="55" t="e">
        <v>#N/A</v>
      </c>
      <c r="O144" s="55" t="e">
        <f ca="1"/>
        <v>#N/A</v>
      </c>
      <c r="P144" s="50" t="e">
        <f t="shared" ca="1" si="205"/>
        <v>#N/A</v>
      </c>
      <c r="Q144" s="534" t="e">
        <f ca="1">IF(O144=1,δ_0*(SLOPE(INDIRECT(VLOOKUP(S144,$S$138:$X$150,5,FALSE)),INDIRECT(VLOOKUP(S144,$S$138:$X$150,6,FALSE)))-SLOPE(INDIRECT(VLOOKUP(S144-1,$S$138:$X$150,5,FALSE)),INDIRECT(VLOOKUP(S144-1,$S$138:$X$150,6,FALSE)))),0)*86400*VLOOKUP($L$135,Aux!$AL$72:$AN$83,3,FALSE)</f>
        <v>#N/A</v>
      </c>
      <c r="R144" s="534">
        <f t="shared" ca="1" si="211"/>
        <v>0</v>
      </c>
      <c r="S144" s="535">
        <f t="array" aca="1" ref="S144" ca="1">SUM(IF(ISNUMBER(T$138:T144),1,0))+IF($J144&gt;Capas_VN_C1,1,0)</f>
        <v>5</v>
      </c>
      <c r="T144" s="50" t="e">
        <f t="shared" ca="1" si="210"/>
        <v>#N/A</v>
      </c>
      <c r="U144" s="50" t="e">
        <f t="shared" ca="1" si="206"/>
        <v>#N/A</v>
      </c>
      <c r="V144" s="50" t="e">
        <f t="shared" ca="1" si="207"/>
        <v>#N/A</v>
      </c>
      <c r="W144" s="50" t="str">
        <f t="shared" ca="1" si="208"/>
        <v>$U$142:$U$143</v>
      </c>
      <c r="X144" s="214" t="str">
        <f t="shared" ca="1" si="209"/>
        <v>$V$142:$V$143</v>
      </c>
      <c r="AB144" s="51"/>
      <c r="AC144" s="51"/>
      <c r="AD144" s="51"/>
      <c r="AE144" s="48"/>
      <c r="AF144" s="48"/>
      <c r="AG144" s="50"/>
      <c r="AH144" s="50"/>
      <c r="AI144" s="51"/>
      <c r="AJ144" s="50"/>
      <c r="AK144" s="55"/>
      <c r="AL144" s="55"/>
      <c r="AM144" s="51"/>
      <c r="AN144" s="51"/>
      <c r="AO144" s="51"/>
      <c r="AP144" s="48"/>
      <c r="AQ144" s="48"/>
      <c r="AR144" s="50"/>
      <c r="AS144" s="50"/>
      <c r="AT144" s="51"/>
      <c r="AU144" s="50"/>
      <c r="AV144" s="55"/>
      <c r="AW144" s="55"/>
      <c r="AX144" s="50"/>
      <c r="AY144" s="51"/>
      <c r="AZ144" s="51"/>
      <c r="BA144" s="48"/>
      <c r="BB144" s="48"/>
      <c r="BC144" s="50"/>
      <c r="BD144" s="50"/>
      <c r="BP144" s="53"/>
      <c r="BQ144" s="52"/>
      <c r="BR144" s="54"/>
      <c r="BS144" s="50"/>
      <c r="BT144" s="55"/>
      <c r="BU144" s="55"/>
      <c r="BV144" s="51"/>
      <c r="BW144" s="51"/>
      <c r="BX144" s="51"/>
      <c r="BY144" s="48"/>
      <c r="BZ144" s="48"/>
      <c r="CA144" s="50"/>
      <c r="CB144" s="52"/>
      <c r="CC144" s="54"/>
      <c r="CD144" s="50"/>
      <c r="CE144" s="55"/>
      <c r="CF144" s="55"/>
      <c r="CG144" s="51"/>
      <c r="CH144" s="51"/>
      <c r="CI144" s="51"/>
      <c r="CJ144" s="48"/>
      <c r="CK144" s="48"/>
      <c r="CL144" s="50"/>
      <c r="CM144" s="52"/>
      <c r="CN144" s="54"/>
      <c r="CO144" s="50"/>
      <c r="CP144" s="55"/>
      <c r="CQ144" s="55"/>
      <c r="CR144" s="51"/>
      <c r="CS144" s="51"/>
      <c r="CT144" s="51"/>
      <c r="CU144" s="48"/>
      <c r="CV144" s="48"/>
      <c r="CW144" s="50"/>
      <c r="CX144" s="50"/>
      <c r="CY144" s="54"/>
      <c r="CZ144" s="50"/>
      <c r="DA144" s="55"/>
      <c r="DB144" s="55"/>
      <c r="DC144" s="50"/>
      <c r="DD144" s="51"/>
      <c r="DE144" s="51"/>
      <c r="DF144" s="48"/>
      <c r="DG144" s="48"/>
      <c r="DH144" s="50"/>
      <c r="DI144" s="52"/>
    </row>
    <row r="145" spans="1:113" x14ac:dyDescent="0.25">
      <c r="B145" s="518" t="s">
        <v>798</v>
      </c>
      <c r="C145" s="518" t="s">
        <v>784</v>
      </c>
      <c r="D145" s="518" t="s">
        <v>785</v>
      </c>
      <c r="E145" s="518" t="s">
        <v>786</v>
      </c>
      <c r="F145" s="518" t="s">
        <v>787</v>
      </c>
      <c r="G145" s="518" t="s">
        <v>788</v>
      </c>
      <c r="H145" s="518" t="s">
        <v>789</v>
      </c>
      <c r="J145" s="15">
        <v>7</v>
      </c>
      <c r="K145" s="53" t="e">
        <v>#N/A</v>
      </c>
      <c r="L145" s="47" t="e">
        <v>#N/A</v>
      </c>
      <c r="M145" s="54" t="e">
        <v>#N/A</v>
      </c>
      <c r="N145" s="55" t="e">
        <v>#N/A</v>
      </c>
      <c r="O145" s="55" t="e">
        <f ca="1"/>
        <v>#N/A</v>
      </c>
      <c r="P145" s="50" t="e">
        <f t="shared" ca="1" si="205"/>
        <v>#N/A</v>
      </c>
      <c r="Q145" s="534" t="e">
        <f ca="1">IF(O145=1,δ_0*(SLOPE(INDIRECT(VLOOKUP(S145,$S$138:$X$150,5,FALSE)),INDIRECT(VLOOKUP(S145,$S$138:$X$150,6,FALSE)))-SLOPE(INDIRECT(VLOOKUP(S145-1,$S$138:$X$150,5,FALSE)),INDIRECT(VLOOKUP(S145-1,$S$138:$X$150,6,FALSE)))),0)*86400*VLOOKUP($L$135,Aux!$AL$72:$AN$83,3,FALSE)</f>
        <v>#N/A</v>
      </c>
      <c r="R145" s="534">
        <f t="shared" ca="1" si="211"/>
        <v>0</v>
      </c>
      <c r="S145" s="535">
        <f t="array" aca="1" ref="S145" ca="1">SUM(IF(ISNUMBER(T$138:T145),1,0))+IF($J145&gt;Capas_VN_C1,1,0)</f>
        <v>5</v>
      </c>
      <c r="T145" s="50" t="e">
        <f t="shared" ca="1" si="210"/>
        <v>#N/A</v>
      </c>
      <c r="U145" s="50" t="e">
        <f t="shared" ca="1" si="206"/>
        <v>#N/A</v>
      </c>
      <c r="V145" s="50" t="e">
        <f t="shared" ca="1" si="207"/>
        <v>#N/A</v>
      </c>
      <c r="W145" s="50" t="str">
        <f t="shared" ca="1" si="208"/>
        <v>$U$142:$U$143</v>
      </c>
      <c r="X145" s="214" t="str">
        <f t="shared" ca="1" si="209"/>
        <v>$V$142:$V$143</v>
      </c>
      <c r="AB145" s="51"/>
      <c r="AC145" s="51"/>
      <c r="AD145" s="51"/>
      <c r="AE145" s="48"/>
      <c r="AF145" s="48"/>
      <c r="AG145" s="50"/>
      <c r="AH145" s="50"/>
      <c r="AI145" s="51"/>
      <c r="AJ145" s="50"/>
      <c r="AK145" s="55"/>
      <c r="AL145" s="55"/>
      <c r="AM145" s="51"/>
      <c r="AN145" s="51"/>
      <c r="AO145" s="51"/>
      <c r="AP145" s="48"/>
      <c r="AQ145" s="48"/>
      <c r="AR145" s="50"/>
      <c r="AS145" s="50"/>
      <c r="AT145" s="51"/>
      <c r="AU145" s="50"/>
      <c r="AV145" s="55"/>
      <c r="AW145" s="55"/>
      <c r="AX145" s="50"/>
      <c r="AY145" s="51"/>
      <c r="AZ145" s="51"/>
      <c r="BA145" s="48"/>
      <c r="BB145" s="48"/>
      <c r="BC145" s="50"/>
      <c r="BD145" s="50"/>
      <c r="BP145" s="53"/>
      <c r="BQ145" s="52"/>
      <c r="BR145" s="54"/>
      <c r="BS145" s="50"/>
      <c r="BT145" s="55"/>
      <c r="BU145" s="55"/>
      <c r="BV145" s="51"/>
      <c r="BW145" s="51"/>
      <c r="BX145" s="51"/>
      <c r="BY145" s="48"/>
      <c r="BZ145" s="48"/>
      <c r="CA145" s="50"/>
      <c r="CB145" s="52"/>
      <c r="CC145" s="54"/>
      <c r="CD145" s="50"/>
      <c r="CE145" s="55"/>
      <c r="CF145" s="55"/>
      <c r="CG145" s="51"/>
      <c r="CH145" s="51"/>
      <c r="CI145" s="51"/>
      <c r="CJ145" s="48"/>
      <c r="CK145" s="48"/>
      <c r="CL145" s="50"/>
      <c r="CM145" s="52"/>
      <c r="CN145" s="54"/>
      <c r="CO145" s="50"/>
      <c r="CP145" s="55"/>
      <c r="CQ145" s="55"/>
      <c r="CR145" s="51"/>
      <c r="CS145" s="51"/>
      <c r="CT145" s="51"/>
      <c r="CU145" s="48"/>
      <c r="CV145" s="48"/>
      <c r="CW145" s="50"/>
      <c r="CX145" s="50"/>
      <c r="CY145" s="54"/>
      <c r="CZ145" s="50"/>
      <c r="DA145" s="55"/>
      <c r="DB145" s="55"/>
      <c r="DC145" s="50"/>
      <c r="DD145" s="51"/>
      <c r="DE145" s="51"/>
      <c r="DF145" s="48"/>
      <c r="DG145" s="48"/>
      <c r="DH145" s="50"/>
      <c r="DI145" s="52"/>
    </row>
    <row r="146" spans="1:113" x14ac:dyDescent="0.25">
      <c r="A146" s="15">
        <v>1</v>
      </c>
      <c r="B146" s="98" t="str">
        <f ca="1">CHOOSE(INDIRECT("L"&amp;83+(A146-1)*26),"Enero","Febrero","Marzo","Abril","Mayo","Junio","Julio","Agosto","Septiembre","Octubre","Noviembre","Diciembre")</f>
        <v>Diciembre</v>
      </c>
      <c r="C146" s="98">
        <f ca="1">C118</f>
        <v>2.6400000000000002E-4</v>
      </c>
      <c r="D146" s="98">
        <f t="shared" ref="D146:H146" ca="1" si="212">D118</f>
        <v>0</v>
      </c>
      <c r="E146" s="98">
        <f t="shared" ca="1" si="212"/>
        <v>-6.7000000000000002E-5</v>
      </c>
      <c r="F146" s="98">
        <f t="shared" ca="1" si="212"/>
        <v>0</v>
      </c>
      <c r="G146" s="98">
        <f t="shared" ca="1" si="212"/>
        <v>0</v>
      </c>
      <c r="H146" s="98">
        <f t="shared" ca="1" si="212"/>
        <v>0</v>
      </c>
      <c r="J146" s="15">
        <v>8</v>
      </c>
      <c r="K146" s="53" t="e">
        <v>#N/A</v>
      </c>
      <c r="L146" s="47" t="e">
        <v>#N/A</v>
      </c>
      <c r="M146" s="54" t="e">
        <v>#N/A</v>
      </c>
      <c r="N146" s="55" t="e">
        <v>#N/A</v>
      </c>
      <c r="O146" s="55" t="e">
        <f ca="1"/>
        <v>#N/A</v>
      </c>
      <c r="P146" s="50" t="e">
        <f t="shared" ca="1" si="205"/>
        <v>#N/A</v>
      </c>
      <c r="Q146" s="534" t="e">
        <f ca="1">IF(O146=1,δ_0*(SLOPE(INDIRECT(VLOOKUP(S146,$S$138:$X$150,5,FALSE)),INDIRECT(VLOOKUP(S146,$S$138:$X$150,6,FALSE)))-SLOPE(INDIRECT(VLOOKUP(S146-1,$S$138:$X$150,5,FALSE)),INDIRECT(VLOOKUP(S146-1,$S$138:$X$150,6,FALSE)))),0)*86400*VLOOKUP($L$135,Aux!$AL$72:$AN$83,3,FALSE)</f>
        <v>#N/A</v>
      </c>
      <c r="R146" s="534">
        <f t="shared" ca="1" si="211"/>
        <v>0</v>
      </c>
      <c r="S146" s="535">
        <f t="array" aca="1" ref="S146" ca="1">SUM(IF(ISNUMBER(T$138:T146),1,0))+IF($J146&gt;Capas_VN_C1,1,0)</f>
        <v>5</v>
      </c>
      <c r="T146" s="50" t="e">
        <f t="shared" ca="1" si="210"/>
        <v>#N/A</v>
      </c>
      <c r="U146" s="50" t="e">
        <f t="shared" ca="1" si="206"/>
        <v>#N/A</v>
      </c>
      <c r="V146" s="50" t="e">
        <f t="shared" ca="1" si="207"/>
        <v>#N/A</v>
      </c>
      <c r="W146" s="50" t="str">
        <f t="shared" ca="1" si="208"/>
        <v>$U$142:$U$143</v>
      </c>
      <c r="X146" s="214" t="str">
        <f t="shared" ca="1" si="209"/>
        <v>$V$142:$V$143</v>
      </c>
      <c r="AB146" s="51"/>
      <c r="AC146" s="51"/>
      <c r="AD146" s="51"/>
      <c r="AE146" s="48"/>
      <c r="AF146" s="48"/>
      <c r="AG146" s="50"/>
      <c r="AH146" s="50"/>
      <c r="AI146" s="51"/>
      <c r="AJ146" s="50"/>
      <c r="AK146" s="55"/>
      <c r="AL146" s="55"/>
      <c r="AM146" s="51"/>
      <c r="AN146" s="51"/>
      <c r="AO146" s="51"/>
      <c r="AP146" s="48"/>
      <c r="AQ146" s="48"/>
      <c r="AR146" s="50"/>
      <c r="AS146" s="50"/>
      <c r="AT146" s="51"/>
      <c r="AU146" s="50"/>
      <c r="AV146" s="55"/>
      <c r="AW146" s="55"/>
      <c r="AX146" s="50"/>
      <c r="AY146" s="51"/>
      <c r="AZ146" s="51"/>
      <c r="BA146" s="48"/>
      <c r="BB146" s="48"/>
      <c r="BC146" s="50"/>
      <c r="BD146" s="50"/>
      <c r="BP146" s="53"/>
      <c r="BQ146" s="52"/>
      <c r="BR146" s="54"/>
      <c r="BS146" s="50"/>
      <c r="BT146" s="55"/>
      <c r="BU146" s="55"/>
      <c r="BV146" s="51"/>
      <c r="BW146" s="51"/>
      <c r="BX146" s="51"/>
      <c r="BY146" s="48"/>
      <c r="BZ146" s="48"/>
      <c r="CA146" s="50"/>
      <c r="CB146" s="52"/>
      <c r="CC146" s="54"/>
      <c r="CD146" s="50"/>
      <c r="CE146" s="55"/>
      <c r="CF146" s="55"/>
      <c r="CG146" s="51"/>
      <c r="CH146" s="51"/>
      <c r="CI146" s="51"/>
      <c r="CJ146" s="48"/>
      <c r="CK146" s="48"/>
      <c r="CL146" s="50"/>
      <c r="CM146" s="52"/>
      <c r="CN146" s="54"/>
      <c r="CO146" s="50"/>
      <c r="CP146" s="55"/>
      <c r="CQ146" s="55"/>
      <c r="CR146" s="51"/>
      <c r="CS146" s="51"/>
      <c r="CT146" s="51"/>
      <c r="CU146" s="48"/>
      <c r="CV146" s="48"/>
      <c r="CW146" s="50"/>
      <c r="CX146" s="50"/>
      <c r="CY146" s="54"/>
      <c r="CZ146" s="50"/>
      <c r="DA146" s="55"/>
      <c r="DB146" s="55"/>
      <c r="DC146" s="50"/>
      <c r="DD146" s="51"/>
      <c r="DE146" s="51"/>
      <c r="DF146" s="48"/>
      <c r="DG146" s="48"/>
      <c r="DH146" s="50"/>
      <c r="DI146" s="52"/>
    </row>
    <row r="147" spans="1:113" x14ac:dyDescent="0.25">
      <c r="A147" s="15">
        <v>2</v>
      </c>
      <c r="B147" s="98" t="str">
        <f t="shared" ref="B147:B170" ca="1" si="213">CHOOSE(INDIRECT("L"&amp;83+(A147-1)*26),"Enero","Febrero","Marzo","Abril","Mayo","Junio","Julio","Agosto","Septiembre","Octubre","Noviembre","Diciembre")</f>
        <v>Enero</v>
      </c>
      <c r="C147" s="98">
        <f ca="1">IF(C119+C146&lt;0,0,C119+C146)</f>
        <v>5.31E-4</v>
      </c>
      <c r="D147" s="98">
        <f t="shared" ref="D147:H157" ca="1" si="214">IF(D119+D146&lt;0,0,D119+D146)</f>
        <v>0</v>
      </c>
      <c r="E147" s="98">
        <f t="shared" ca="1" si="214"/>
        <v>1.2340000000000001E-3</v>
      </c>
      <c r="F147" s="98">
        <f t="shared" ca="1" si="214"/>
        <v>0</v>
      </c>
      <c r="G147" s="98">
        <f t="shared" ca="1" si="214"/>
        <v>0</v>
      </c>
      <c r="H147" s="98">
        <f t="shared" ca="1" si="214"/>
        <v>0</v>
      </c>
      <c r="J147" s="15">
        <v>9</v>
      </c>
      <c r="K147" s="53" t="e">
        <v>#N/A</v>
      </c>
      <c r="L147" s="47" t="e">
        <v>#N/A</v>
      </c>
      <c r="M147" s="54" t="e">
        <v>#N/A</v>
      </c>
      <c r="N147" s="55" t="e">
        <v>#N/A</v>
      </c>
      <c r="O147" s="55" t="e">
        <f ca="1"/>
        <v>#N/A</v>
      </c>
      <c r="P147" s="50" t="e">
        <f t="shared" ca="1" si="205"/>
        <v>#N/A</v>
      </c>
      <c r="Q147" s="534" t="e">
        <f ca="1">IF(O147=1,δ_0*(SLOPE(INDIRECT(VLOOKUP(S147,$S$138:$X$150,5,FALSE)),INDIRECT(VLOOKUP(S147,$S$138:$X$150,6,FALSE)))-SLOPE(INDIRECT(VLOOKUP(S147-1,$S$138:$X$150,5,FALSE)),INDIRECT(VLOOKUP(S147-1,$S$138:$X$150,6,FALSE)))),0)*86400*VLOOKUP($L$135,Aux!$AL$72:$AN$83,3,FALSE)</f>
        <v>#N/A</v>
      </c>
      <c r="R147" s="534">
        <f t="shared" ca="1" si="211"/>
        <v>0</v>
      </c>
      <c r="S147" s="535">
        <f t="array" aca="1" ref="S147" ca="1">SUM(IF(ISNUMBER(T$138:T147),1,0))+IF($J147&gt;Capas_VN_C1,1,0)</f>
        <v>5</v>
      </c>
      <c r="T147" s="50" t="e">
        <f t="shared" ca="1" si="210"/>
        <v>#N/A</v>
      </c>
      <c r="U147" s="50" t="e">
        <f t="shared" ca="1" si="206"/>
        <v>#N/A</v>
      </c>
      <c r="V147" s="50" t="e">
        <f t="shared" ca="1" si="207"/>
        <v>#N/A</v>
      </c>
      <c r="W147" s="50" t="str">
        <f t="shared" ca="1" si="208"/>
        <v>$U$142:$U$143</v>
      </c>
      <c r="X147" s="214" t="str">
        <f t="shared" ca="1" si="209"/>
        <v>$V$142:$V$143</v>
      </c>
      <c r="AB147" s="51"/>
      <c r="AC147" s="51"/>
      <c r="AD147" s="51"/>
      <c r="AE147" s="48"/>
      <c r="AF147" s="48"/>
      <c r="AG147" s="50"/>
      <c r="AH147" s="50"/>
      <c r="AI147" s="51"/>
      <c r="AJ147" s="50"/>
      <c r="AK147" s="55"/>
      <c r="AL147" s="55"/>
      <c r="AM147" s="51"/>
      <c r="AN147" s="51"/>
      <c r="AO147" s="51"/>
      <c r="AP147" s="48"/>
      <c r="AQ147" s="48"/>
      <c r="AR147" s="50"/>
      <c r="AS147" s="50"/>
      <c r="AT147" s="51"/>
      <c r="AU147" s="50"/>
      <c r="AV147" s="55"/>
      <c r="AW147" s="55"/>
      <c r="AX147" s="50"/>
      <c r="AY147" s="51"/>
      <c r="AZ147" s="51"/>
      <c r="BA147" s="48"/>
      <c r="BB147" s="48"/>
      <c r="BC147" s="50"/>
      <c r="BD147" s="50"/>
      <c r="BP147" s="53"/>
      <c r="BQ147" s="52"/>
      <c r="BR147" s="54"/>
      <c r="BS147" s="50"/>
      <c r="BT147" s="55"/>
      <c r="BU147" s="55"/>
      <c r="BV147" s="51"/>
      <c r="BW147" s="51"/>
      <c r="BX147" s="51"/>
      <c r="BY147" s="48"/>
      <c r="BZ147" s="48"/>
      <c r="CA147" s="50"/>
      <c r="CB147" s="52"/>
      <c r="CC147" s="54"/>
      <c r="CD147" s="50"/>
      <c r="CE147" s="55"/>
      <c r="CF147" s="55"/>
      <c r="CG147" s="51"/>
      <c r="CH147" s="51"/>
      <c r="CI147" s="51"/>
      <c r="CJ147" s="48"/>
      <c r="CK147" s="48"/>
      <c r="CL147" s="50"/>
      <c r="CM147" s="52"/>
      <c r="CN147" s="54"/>
      <c r="CO147" s="50"/>
      <c r="CP147" s="55"/>
      <c r="CQ147" s="55"/>
      <c r="CR147" s="51"/>
      <c r="CS147" s="51"/>
      <c r="CT147" s="51"/>
      <c r="CU147" s="48"/>
      <c r="CV147" s="48"/>
      <c r="CW147" s="50"/>
      <c r="CX147" s="50"/>
      <c r="CY147" s="54"/>
      <c r="CZ147" s="50"/>
      <c r="DA147" s="55"/>
      <c r="DB147" s="55"/>
      <c r="DC147" s="50"/>
      <c r="DD147" s="51"/>
      <c r="DE147" s="51"/>
      <c r="DF147" s="48"/>
      <c r="DG147" s="48"/>
      <c r="DH147" s="50"/>
      <c r="DI147" s="52"/>
    </row>
    <row r="148" spans="1:113" x14ac:dyDescent="0.25">
      <c r="A148" s="15">
        <v>3</v>
      </c>
      <c r="B148" s="98" t="str">
        <f t="shared" ca="1" si="213"/>
        <v>Febrero</v>
      </c>
      <c r="C148" s="98">
        <f t="shared" ref="C148:C157" ca="1" si="215">IF(C120+C147&lt;0,0,C120+C147)</f>
        <v>7.6900000000000004E-4</v>
      </c>
      <c r="D148" s="98">
        <f t="shared" ca="1" si="214"/>
        <v>0</v>
      </c>
      <c r="E148" s="98">
        <f t="shared" ca="1" si="214"/>
        <v>1.8140000000000001E-3</v>
      </c>
      <c r="F148" s="98">
        <f t="shared" ca="1" si="214"/>
        <v>0</v>
      </c>
      <c r="G148" s="98">
        <f t="shared" ca="1" si="214"/>
        <v>0</v>
      </c>
      <c r="H148" s="98">
        <f t="shared" ca="1" si="214"/>
        <v>0</v>
      </c>
      <c r="J148" s="15">
        <v>10</v>
      </c>
      <c r="K148" s="53" t="e">
        <v>#N/A</v>
      </c>
      <c r="L148" s="47" t="e">
        <v>#N/A</v>
      </c>
      <c r="M148" s="54" t="e">
        <v>#N/A</v>
      </c>
      <c r="N148" s="55" t="e">
        <v>#N/A</v>
      </c>
      <c r="O148" s="55" t="e">
        <f ca="1"/>
        <v>#N/A</v>
      </c>
      <c r="P148" s="50" t="e">
        <f t="shared" ca="1" si="205"/>
        <v>#N/A</v>
      </c>
      <c r="Q148" s="534" t="e">
        <f ca="1">IF(O148=1,δ_0*(SLOPE(INDIRECT(VLOOKUP(S148,$S$138:$X$150,5,FALSE)),INDIRECT(VLOOKUP(S148,$S$138:$X$150,6,FALSE)))-SLOPE(INDIRECT(VLOOKUP(S148-1,$S$138:$X$150,5,FALSE)),INDIRECT(VLOOKUP(S148-1,$S$138:$X$150,6,FALSE)))),0)*86400*VLOOKUP($L$135,Aux!$AL$72:$AN$83,3,FALSE)</f>
        <v>#N/A</v>
      </c>
      <c r="R148" s="534">
        <f t="shared" ca="1" si="211"/>
        <v>0</v>
      </c>
      <c r="S148" s="535">
        <f t="array" aca="1" ref="S148" ca="1">SUM(IF(ISNUMBER(T$138:T148),1,0))+IF($J148&gt;Capas_VN_C1,1,0)</f>
        <v>5</v>
      </c>
      <c r="T148" s="50" t="e">
        <f t="shared" ca="1" si="210"/>
        <v>#N/A</v>
      </c>
      <c r="U148" s="50" t="e">
        <f t="shared" ca="1" si="206"/>
        <v>#N/A</v>
      </c>
      <c r="V148" s="50" t="e">
        <f t="shared" ca="1" si="207"/>
        <v>#N/A</v>
      </c>
      <c r="W148" s="50" t="str">
        <f t="shared" ca="1" si="208"/>
        <v>$U$142:$U$143</v>
      </c>
      <c r="X148" s="214" t="str">
        <f t="shared" ca="1" si="209"/>
        <v>$V$142:$V$143</v>
      </c>
      <c r="AB148" s="51"/>
      <c r="AC148" s="51"/>
      <c r="AD148" s="51"/>
      <c r="AE148" s="48"/>
      <c r="AF148" s="48"/>
      <c r="AG148" s="50"/>
      <c r="AH148" s="50"/>
      <c r="AI148" s="51"/>
      <c r="AJ148" s="50"/>
      <c r="AK148" s="55"/>
      <c r="AL148" s="55"/>
      <c r="AM148" s="51"/>
      <c r="AN148" s="51"/>
      <c r="AO148" s="51"/>
      <c r="AP148" s="48"/>
      <c r="AQ148" s="48"/>
      <c r="AR148" s="50"/>
      <c r="AS148" s="50"/>
      <c r="AT148" s="51"/>
      <c r="AU148" s="50"/>
      <c r="AV148" s="55"/>
      <c r="AW148" s="55"/>
      <c r="AX148" s="50"/>
      <c r="AY148" s="51"/>
      <c r="AZ148" s="51"/>
      <c r="BA148" s="48"/>
      <c r="BB148" s="48"/>
      <c r="BC148" s="50"/>
      <c r="BD148" s="50"/>
      <c r="BP148" s="53"/>
      <c r="BQ148" s="52"/>
      <c r="BR148" s="54"/>
      <c r="BS148" s="50"/>
      <c r="BT148" s="55"/>
      <c r="BU148" s="55"/>
      <c r="BV148" s="51"/>
      <c r="BW148" s="51"/>
      <c r="BX148" s="51"/>
      <c r="BY148" s="48"/>
      <c r="BZ148" s="48"/>
      <c r="CA148" s="50"/>
      <c r="CB148" s="52"/>
      <c r="CC148" s="54"/>
      <c r="CD148" s="50"/>
      <c r="CE148" s="55"/>
      <c r="CF148" s="55"/>
      <c r="CG148" s="51"/>
      <c r="CH148" s="51"/>
      <c r="CI148" s="51"/>
      <c r="CJ148" s="48"/>
      <c r="CK148" s="48"/>
      <c r="CL148" s="50"/>
      <c r="CM148" s="52"/>
      <c r="CN148" s="54"/>
      <c r="CO148" s="50"/>
      <c r="CP148" s="55"/>
      <c r="CQ148" s="55"/>
      <c r="CR148" s="51"/>
      <c r="CS148" s="51"/>
      <c r="CT148" s="51"/>
      <c r="CU148" s="48"/>
      <c r="CV148" s="48"/>
      <c r="CW148" s="50"/>
      <c r="CX148" s="50"/>
      <c r="CY148" s="54"/>
      <c r="CZ148" s="50"/>
      <c r="DA148" s="55"/>
      <c r="DB148" s="55"/>
      <c r="DC148" s="50"/>
      <c r="DD148" s="51"/>
      <c r="DE148" s="51"/>
      <c r="DF148" s="48"/>
      <c r="DG148" s="48"/>
      <c r="DH148" s="50"/>
      <c r="DI148" s="52"/>
    </row>
    <row r="149" spans="1:113" x14ac:dyDescent="0.25">
      <c r="A149" s="15">
        <v>4</v>
      </c>
      <c r="B149" s="98" t="str">
        <f t="shared" ca="1" si="213"/>
        <v>Marzo</v>
      </c>
      <c r="C149" s="98">
        <f t="shared" ca="1" si="215"/>
        <v>1.013E-3</v>
      </c>
      <c r="D149" s="98">
        <f t="shared" ca="1" si="214"/>
        <v>0</v>
      </c>
      <c r="E149" s="98">
        <f t="shared" ca="1" si="214"/>
        <v>0</v>
      </c>
      <c r="F149" s="98">
        <f t="shared" ca="1" si="214"/>
        <v>0</v>
      </c>
      <c r="G149" s="98">
        <f t="shared" ca="1" si="214"/>
        <v>0</v>
      </c>
      <c r="H149" s="98">
        <f t="shared" ca="1" si="214"/>
        <v>0</v>
      </c>
      <c r="J149" s="15">
        <v>11</v>
      </c>
      <c r="K149" s="53" t="e">
        <v>#N/A</v>
      </c>
      <c r="L149" s="47" t="e">
        <v>#N/A</v>
      </c>
      <c r="M149" s="54" t="e">
        <v>#N/A</v>
      </c>
      <c r="N149" s="55" t="e">
        <v>#N/A</v>
      </c>
      <c r="O149" s="55" t="e">
        <f ca="1"/>
        <v>#N/A</v>
      </c>
      <c r="P149" s="50" t="e">
        <f t="shared" ca="1" si="205"/>
        <v>#N/A</v>
      </c>
      <c r="Q149" s="534" t="e">
        <f ca="1">IF(O149=1,δ_0*(SLOPE(INDIRECT(VLOOKUP(S149,$S$138:$X$150,5,FALSE)),INDIRECT(VLOOKUP(S149,$S$138:$X$150,6,FALSE)))-SLOPE(INDIRECT(VLOOKUP(S149-1,$S$138:$X$150,5,FALSE)),INDIRECT(VLOOKUP(S149-1,$S$138:$X$150,6,FALSE)))),0)*86400*VLOOKUP($L$135,Aux!$AL$72:$AN$83,3,FALSE)</f>
        <v>#N/A</v>
      </c>
      <c r="R149" s="534">
        <f t="shared" ca="1" si="211"/>
        <v>0</v>
      </c>
      <c r="S149" s="535">
        <f t="array" aca="1" ref="S149" ca="1">SUM(IF(ISNUMBER(T$138:T149),1,0))+IF($J149&gt;Capas_VN_C1,1,0)</f>
        <v>5</v>
      </c>
      <c r="T149" s="50" t="e">
        <f t="shared" ca="1" si="210"/>
        <v>#N/A</v>
      </c>
      <c r="U149" s="50" t="e">
        <f t="shared" ca="1" si="206"/>
        <v>#N/A</v>
      </c>
      <c r="V149" s="50" t="e">
        <f t="shared" ca="1" si="207"/>
        <v>#N/A</v>
      </c>
      <c r="W149" s="50" t="str">
        <f t="shared" ca="1" si="208"/>
        <v>$U$142:$U$143</v>
      </c>
      <c r="X149" s="214" t="str">
        <f t="shared" ca="1" si="209"/>
        <v>$V$142:$V$143</v>
      </c>
      <c r="AB149" s="51"/>
      <c r="AC149" s="51"/>
      <c r="AD149" s="51"/>
      <c r="AE149" s="48"/>
      <c r="AF149" s="48"/>
      <c r="AG149" s="50"/>
      <c r="AH149" s="50"/>
      <c r="AI149" s="51"/>
      <c r="AJ149" s="50"/>
      <c r="AK149" s="55"/>
      <c r="AL149" s="55"/>
      <c r="AM149" s="51"/>
      <c r="AN149" s="51"/>
      <c r="AO149" s="51"/>
      <c r="AP149" s="48"/>
      <c r="AQ149" s="48"/>
      <c r="AR149" s="50"/>
      <c r="AS149" s="50"/>
      <c r="AT149" s="51"/>
      <c r="AU149" s="50"/>
      <c r="AV149" s="55"/>
      <c r="AW149" s="55"/>
      <c r="AX149" s="50"/>
      <c r="AY149" s="51"/>
      <c r="AZ149" s="51"/>
      <c r="BA149" s="48"/>
      <c r="BB149" s="48"/>
      <c r="BC149" s="50"/>
      <c r="BD149" s="50"/>
      <c r="BP149" s="53"/>
      <c r="BQ149" s="52"/>
      <c r="BR149" s="54"/>
      <c r="BS149" s="50"/>
      <c r="BT149" s="55"/>
      <c r="BU149" s="55"/>
      <c r="BV149" s="51"/>
      <c r="BW149" s="51"/>
      <c r="BX149" s="51"/>
      <c r="BY149" s="48"/>
      <c r="BZ149" s="48"/>
      <c r="CA149" s="50"/>
      <c r="CB149" s="52"/>
      <c r="CC149" s="54"/>
      <c r="CD149" s="50"/>
      <c r="CE149" s="55"/>
      <c r="CF149" s="55"/>
      <c r="CG149" s="51"/>
      <c r="CH149" s="51"/>
      <c r="CI149" s="51"/>
      <c r="CJ149" s="48"/>
      <c r="CK149" s="48"/>
      <c r="CL149" s="50"/>
      <c r="CM149" s="52"/>
      <c r="CN149" s="54"/>
      <c r="CO149" s="50"/>
      <c r="CP149" s="55"/>
      <c r="CQ149" s="55"/>
      <c r="CR149" s="51"/>
      <c r="CS149" s="51"/>
      <c r="CT149" s="51"/>
      <c r="CU149" s="48"/>
      <c r="CV149" s="48"/>
      <c r="CW149" s="50"/>
      <c r="CX149" s="50"/>
      <c r="CY149" s="54"/>
      <c r="CZ149" s="50"/>
      <c r="DA149" s="55"/>
      <c r="DB149" s="55"/>
      <c r="DC149" s="50"/>
      <c r="DD149" s="51"/>
      <c r="DE149" s="51"/>
      <c r="DF149" s="48"/>
      <c r="DG149" s="48"/>
      <c r="DH149" s="50"/>
      <c r="DI149" s="52"/>
    </row>
    <row r="150" spans="1:113" x14ac:dyDescent="0.25">
      <c r="A150" s="15">
        <v>5</v>
      </c>
      <c r="B150" s="98" t="str">
        <f t="shared" ca="1" si="213"/>
        <v>Abril</v>
      </c>
      <c r="C150" s="98">
        <f t="shared" ca="1" si="215"/>
        <v>1.0890000000000001E-3</v>
      </c>
      <c r="D150" s="98">
        <f t="shared" ca="1" si="214"/>
        <v>0</v>
      </c>
      <c r="E150" s="98">
        <f t="shared" ca="1" si="214"/>
        <v>0</v>
      </c>
      <c r="F150" s="98">
        <f t="shared" ca="1" si="214"/>
        <v>0</v>
      </c>
      <c r="G150" s="98">
        <f t="shared" ca="1" si="214"/>
        <v>0</v>
      </c>
      <c r="H150" s="98">
        <f t="shared" ca="1" si="214"/>
        <v>0</v>
      </c>
      <c r="J150" s="517">
        <v>12</v>
      </c>
      <c r="K150" s="53" t="e">
        <v>#N/A</v>
      </c>
      <c r="L150" s="47" t="e">
        <v>#N/A</v>
      </c>
      <c r="M150" s="54" t="e">
        <v>#N/A</v>
      </c>
      <c r="N150" s="55" t="e">
        <v>#N/A</v>
      </c>
      <c r="O150" s="55" t="e">
        <f ca="1"/>
        <v>#N/A</v>
      </c>
      <c r="P150" s="50" t="e">
        <f t="shared" ca="1" si="205"/>
        <v>#N/A</v>
      </c>
      <c r="Q150" s="534" t="e">
        <f ca="1">IF(O150=1,δ_0*(SLOPE(INDIRECT(VLOOKUP(S150,$S$138:$X$150,5,FALSE)),INDIRECT(VLOOKUP(S150,$S$138:$X$150,6,FALSE)))-SLOPE(INDIRECT(VLOOKUP(S150-1,$S$138:$X$150,5,FALSE)),INDIRECT(VLOOKUP(S150-1,$S$138:$X$150,6,FALSE)))),0)*86400*VLOOKUP($L$135,Aux!$AL$72:$AN$83,3,FALSE)</f>
        <v>#N/A</v>
      </c>
      <c r="R150" s="534">
        <f t="shared" ca="1" si="211"/>
        <v>0</v>
      </c>
      <c r="S150" s="535">
        <f t="array" aca="1" ref="S150" ca="1">SUM(IF(ISNUMBER(T$138:T150),1,0))+IF($J150&gt;Capas_VN_C1,1,0)</f>
        <v>5</v>
      </c>
      <c r="T150" s="50" t="e">
        <f t="shared" ca="1" si="210"/>
        <v>#N/A</v>
      </c>
      <c r="U150" s="50" t="e">
        <f t="shared" ca="1" si="206"/>
        <v>#N/A</v>
      </c>
      <c r="V150" s="50" t="e">
        <f t="shared" ca="1" si="207"/>
        <v>#N/A</v>
      </c>
      <c r="W150" s="50" t="str">
        <f t="shared" ca="1" si="208"/>
        <v>$U$142:$U$143</v>
      </c>
      <c r="X150" s="214" t="str">
        <f t="shared" ca="1" si="209"/>
        <v>$V$142:$V$143</v>
      </c>
      <c r="AB150" s="51"/>
      <c r="AC150" s="51"/>
      <c r="AD150" s="51"/>
      <c r="AE150" s="48"/>
      <c r="AF150" s="48"/>
      <c r="AG150" s="50"/>
      <c r="AH150" s="50"/>
      <c r="AI150" s="51"/>
      <c r="AJ150" s="50"/>
      <c r="AK150" s="55"/>
      <c r="AL150" s="55"/>
      <c r="AM150" s="51"/>
      <c r="AN150" s="51"/>
      <c r="AO150" s="51"/>
      <c r="AP150" s="48"/>
      <c r="AQ150" s="48"/>
      <c r="AR150" s="50"/>
      <c r="AS150" s="50"/>
      <c r="AT150" s="51"/>
      <c r="AU150" s="50"/>
      <c r="AV150" s="55"/>
      <c r="AW150" s="55"/>
      <c r="AX150" s="50"/>
      <c r="AY150" s="51"/>
      <c r="AZ150" s="51"/>
      <c r="BA150" s="48"/>
      <c r="BB150" s="48"/>
      <c r="BC150" s="50"/>
      <c r="BD150" s="50"/>
      <c r="BP150" s="53"/>
      <c r="BQ150" s="52"/>
      <c r="BR150" s="54"/>
      <c r="BS150" s="50"/>
      <c r="BT150" s="55"/>
      <c r="BU150" s="55"/>
      <c r="BV150" s="51"/>
      <c r="BW150" s="51"/>
      <c r="BX150" s="51"/>
      <c r="BY150" s="48"/>
      <c r="BZ150" s="48"/>
      <c r="CA150" s="50"/>
      <c r="CB150" s="52"/>
      <c r="CC150" s="54"/>
      <c r="CD150" s="50"/>
      <c r="CE150" s="55"/>
      <c r="CF150" s="55"/>
      <c r="CG150" s="51"/>
      <c r="CH150" s="51"/>
      <c r="CI150" s="51"/>
      <c r="CJ150" s="48"/>
      <c r="CK150" s="48"/>
      <c r="CL150" s="50"/>
      <c r="CM150" s="52"/>
      <c r="CN150" s="54"/>
      <c r="CO150" s="50"/>
      <c r="CP150" s="55"/>
      <c r="CQ150" s="55"/>
      <c r="CR150" s="51"/>
      <c r="CS150" s="51"/>
      <c r="CT150" s="51"/>
      <c r="CU150" s="48"/>
      <c r="CV150" s="48"/>
      <c r="CW150" s="50"/>
      <c r="CX150" s="50"/>
      <c r="CY150" s="54"/>
      <c r="CZ150" s="50"/>
      <c r="DA150" s="55"/>
      <c r="DB150" s="55"/>
      <c r="DC150" s="50"/>
      <c r="DD150" s="51"/>
      <c r="DE150" s="51"/>
      <c r="DF150" s="48"/>
      <c r="DG150" s="48"/>
      <c r="DH150" s="50"/>
      <c r="DI150" s="52"/>
    </row>
    <row r="151" spans="1:113" ht="15.75" thickBot="1" x14ac:dyDescent="0.3">
      <c r="A151" s="15">
        <v>6</v>
      </c>
      <c r="B151" s="98" t="str">
        <f t="shared" ca="1" si="213"/>
        <v>Mayo</v>
      </c>
      <c r="C151" s="98">
        <f t="shared" ca="1" si="215"/>
        <v>1.0760000000000001E-3</v>
      </c>
      <c r="D151" s="98">
        <f t="shared" ca="1" si="214"/>
        <v>0</v>
      </c>
      <c r="E151" s="98">
        <f t="shared" ca="1" si="214"/>
        <v>0</v>
      </c>
      <c r="F151" s="98">
        <f t="shared" ca="1" si="214"/>
        <v>0</v>
      </c>
      <c r="G151" s="98">
        <f t="shared" ca="1" si="214"/>
        <v>0</v>
      </c>
      <c r="H151" s="98">
        <f t="shared" ca="1" si="214"/>
        <v>0</v>
      </c>
      <c r="J151" s="517"/>
      <c r="K151" s="53"/>
      <c r="L151" s="52"/>
      <c r="M151" s="62"/>
      <c r="N151" s="65"/>
      <c r="O151" s="65"/>
      <c r="P151" s="65"/>
      <c r="Q151" s="542"/>
      <c r="R151" s="65"/>
      <c r="S151" s="62"/>
      <c r="T151" s="65"/>
      <c r="U151" s="65"/>
      <c r="V151" s="65"/>
      <c r="W151" s="65"/>
      <c r="X151" s="61"/>
      <c r="AB151" s="51"/>
      <c r="AC151" s="51"/>
      <c r="AD151" s="51"/>
      <c r="AE151" s="48"/>
      <c r="AF151" s="48"/>
      <c r="AG151" s="50"/>
      <c r="AH151" s="50"/>
      <c r="AI151" s="51"/>
      <c r="AJ151" s="50"/>
      <c r="AK151" s="55"/>
      <c r="AL151" s="55"/>
      <c r="AM151" s="51"/>
      <c r="AN151" s="51"/>
      <c r="AO151" s="51"/>
      <c r="AP151" s="48"/>
      <c r="AQ151" s="48"/>
      <c r="AR151" s="50"/>
      <c r="AS151" s="50"/>
      <c r="AT151" s="51"/>
      <c r="AU151" s="50"/>
      <c r="AV151" s="55"/>
      <c r="AW151" s="55"/>
      <c r="AX151" s="50"/>
      <c r="AY151" s="51"/>
      <c r="AZ151" s="51"/>
      <c r="BA151" s="48"/>
      <c r="BB151" s="48"/>
      <c r="BC151" s="50"/>
      <c r="BD151" s="50"/>
      <c r="BP151" s="53"/>
      <c r="BQ151" s="52"/>
      <c r="BR151" s="54"/>
      <c r="BS151" s="50"/>
      <c r="BT151" s="55"/>
      <c r="BU151" s="55"/>
      <c r="BV151" s="51"/>
      <c r="BW151" s="51"/>
      <c r="BX151" s="51"/>
      <c r="BY151" s="48"/>
      <c r="BZ151" s="48"/>
      <c r="CA151" s="50"/>
      <c r="CB151" s="52"/>
      <c r="CC151" s="54"/>
      <c r="CD151" s="50"/>
      <c r="CE151" s="55"/>
      <c r="CF151" s="55"/>
      <c r="CG151" s="51"/>
      <c r="CH151" s="51"/>
      <c r="CI151" s="51"/>
      <c r="CJ151" s="48"/>
      <c r="CK151" s="48"/>
      <c r="CL151" s="50"/>
      <c r="CM151" s="52"/>
      <c r="CN151" s="54"/>
      <c r="CO151" s="50"/>
      <c r="CP151" s="55"/>
      <c r="CQ151" s="55"/>
      <c r="CR151" s="51"/>
      <c r="CS151" s="51"/>
      <c r="CT151" s="51"/>
      <c r="CU151" s="48"/>
      <c r="CV151" s="48"/>
      <c r="CW151" s="50"/>
      <c r="CX151" s="50"/>
      <c r="CY151" s="54"/>
      <c r="CZ151" s="50"/>
      <c r="DA151" s="55"/>
      <c r="DB151" s="55"/>
      <c r="DC151" s="50"/>
      <c r="DD151" s="51"/>
      <c r="DE151" s="51"/>
      <c r="DF151" s="48"/>
      <c r="DG151" s="48"/>
      <c r="DH151" s="50"/>
      <c r="DI151" s="52"/>
    </row>
    <row r="152" spans="1:113" ht="15.75" thickBot="1" x14ac:dyDescent="0.3">
      <c r="A152" s="15">
        <v>7</v>
      </c>
      <c r="B152" s="98" t="str">
        <f t="shared" ca="1" si="213"/>
        <v>Junio</v>
      </c>
      <c r="C152" s="98">
        <f t="shared" ca="1" si="215"/>
        <v>9.8600000000000011E-4</v>
      </c>
      <c r="D152" s="98">
        <f t="shared" ca="1" si="214"/>
        <v>0</v>
      </c>
      <c r="E152" s="98">
        <f t="shared" ca="1" si="214"/>
        <v>0</v>
      </c>
      <c r="F152" s="98">
        <f t="shared" ca="1" si="214"/>
        <v>0</v>
      </c>
      <c r="G152" s="98">
        <f t="shared" ca="1" si="214"/>
        <v>0</v>
      </c>
      <c r="H152" s="98">
        <f t="shared" ca="1" si="214"/>
        <v>0</v>
      </c>
      <c r="K152" s="68" t="s">
        <v>145</v>
      </c>
      <c r="L152" s="505">
        <v>0</v>
      </c>
      <c r="M152" s="506" t="s">
        <v>275</v>
      </c>
      <c r="N152" s="507">
        <v>20</v>
      </c>
      <c r="O152" s="36" t="s">
        <v>735</v>
      </c>
      <c r="P152" s="513">
        <v>655.65557190117102</v>
      </c>
      <c r="Q152" s="539"/>
      <c r="Y152" s="50"/>
      <c r="Z152" s="50"/>
      <c r="AA152" s="55"/>
      <c r="AI152" s="50"/>
      <c r="AK152" s="50"/>
      <c r="AL152" s="55"/>
      <c r="AT152" s="50"/>
      <c r="BP152" s="62"/>
      <c r="BQ152" s="63"/>
      <c r="BR152" s="62"/>
      <c r="BS152" s="65"/>
      <c r="BT152" s="64"/>
      <c r="BU152" s="58"/>
      <c r="BV152" s="58"/>
      <c r="BW152" s="58"/>
      <c r="BX152" s="58"/>
      <c r="BY152" s="58"/>
      <c r="BZ152" s="58"/>
      <c r="CA152" s="58"/>
      <c r="CB152" s="61"/>
      <c r="CC152" s="62"/>
      <c r="CD152" s="65"/>
      <c r="CE152" s="64"/>
      <c r="CF152" s="58"/>
      <c r="CG152" s="58"/>
      <c r="CH152" s="58"/>
      <c r="CI152" s="58"/>
      <c r="CJ152" s="58"/>
      <c r="CK152" s="58"/>
      <c r="CL152" s="58"/>
      <c r="CM152" s="61"/>
      <c r="CN152" s="62"/>
      <c r="CO152" s="58"/>
      <c r="CP152" s="65"/>
      <c r="CQ152" s="64"/>
      <c r="CR152" s="58"/>
      <c r="CS152" s="58"/>
      <c r="CT152" s="58"/>
      <c r="CU152" s="58"/>
      <c r="CV152" s="58"/>
      <c r="CW152" s="58"/>
      <c r="CX152" s="58"/>
      <c r="CY152" s="62"/>
      <c r="CZ152" s="58"/>
      <c r="DA152" s="58"/>
      <c r="DB152" s="58"/>
      <c r="DC152" s="58"/>
      <c r="DD152" s="58"/>
      <c r="DE152" s="58"/>
      <c r="DF152" s="58"/>
      <c r="DG152" s="58"/>
      <c r="DH152" s="58"/>
      <c r="DI152" s="61"/>
    </row>
    <row r="153" spans="1:113" x14ac:dyDescent="0.25">
      <c r="A153" s="15">
        <v>8</v>
      </c>
      <c r="B153" s="98" t="str">
        <f t="shared" ca="1" si="213"/>
        <v>Julio</v>
      </c>
      <c r="C153" s="98">
        <f t="shared" ca="1" si="215"/>
        <v>8.7700000000000007E-4</v>
      </c>
      <c r="D153" s="98">
        <f t="shared" ca="1" si="214"/>
        <v>0</v>
      </c>
      <c r="E153" s="98">
        <f t="shared" ca="1" si="214"/>
        <v>0</v>
      </c>
      <c r="F153" s="98">
        <f t="shared" ca="1" si="214"/>
        <v>0</v>
      </c>
      <c r="G153" s="98">
        <f t="shared" ca="1" si="214"/>
        <v>0</v>
      </c>
      <c r="H153" s="98">
        <f t="shared" ca="1" si="214"/>
        <v>0</v>
      </c>
      <c r="K153" s="75" t="s">
        <v>144</v>
      </c>
      <c r="L153" s="22">
        <v>0.84</v>
      </c>
      <c r="M153" s="80" t="s">
        <v>771</v>
      </c>
      <c r="N153" s="508">
        <v>0.5</v>
      </c>
      <c r="O153" s="68" t="s">
        <v>780</v>
      </c>
      <c r="P153" s="507" t="b">
        <v>1</v>
      </c>
      <c r="Q153" s="539"/>
      <c r="U153" s="22"/>
      <c r="V153" s="22"/>
      <c r="Y153" s="22"/>
      <c r="Z153" s="28"/>
      <c r="AA153" s="48"/>
      <c r="AI153" s="22"/>
      <c r="AJ153" s="28"/>
      <c r="AK153" s="48"/>
      <c r="AT153" s="22"/>
      <c r="AU153" s="28"/>
      <c r="AV153" s="48"/>
      <c r="BP153" s="68" t="s">
        <v>144</v>
      </c>
      <c r="BQ153" s="73" t="e">
        <f>IF([0]!Casilla2,φe_H1_C1,VLOOKUP(Seccion1!provincia_C1,datos_humedad_julio[],$L$57+1,FALSE))</f>
        <v>#NAME?</v>
      </c>
      <c r="BR153" s="111"/>
      <c r="BS153" s="77" t="s">
        <v>160</v>
      </c>
      <c r="BT153" s="70"/>
      <c r="BU153" s="38"/>
      <c r="BV153" s="38"/>
      <c r="BW153" s="38"/>
      <c r="BX153" s="38"/>
      <c r="BY153" s="71"/>
      <c r="BZ153" s="71"/>
      <c r="CA153" s="38"/>
      <c r="CB153" s="72"/>
      <c r="CC153" s="111"/>
      <c r="CD153" s="77" t="s">
        <v>160</v>
      </c>
      <c r="CE153" s="67"/>
      <c r="CF153" s="38"/>
      <c r="CG153" s="38"/>
      <c r="CH153" s="38"/>
      <c r="CI153" s="38"/>
      <c r="CJ153" s="38"/>
      <c r="CK153" s="38"/>
      <c r="CL153" s="38"/>
      <c r="CM153" s="72"/>
      <c r="CN153" s="111"/>
      <c r="CO153" s="77" t="s">
        <v>160</v>
      </c>
      <c r="CP153" s="67"/>
      <c r="CQ153" s="38"/>
      <c r="CR153" s="38"/>
      <c r="CS153" s="38"/>
      <c r="CT153" s="38"/>
      <c r="CU153" s="38"/>
      <c r="CV153" s="38"/>
      <c r="CW153" s="38"/>
      <c r="CX153" s="38"/>
      <c r="CY153" s="111"/>
      <c r="CZ153" s="77" t="s">
        <v>160</v>
      </c>
      <c r="DA153" s="67"/>
      <c r="DB153" s="38"/>
      <c r="DC153" s="38"/>
      <c r="DD153" s="38"/>
      <c r="DE153" s="38"/>
      <c r="DF153" s="38"/>
      <c r="DG153" s="38"/>
      <c r="DH153" s="38"/>
      <c r="DI153" s="72"/>
    </row>
    <row r="154" spans="1:113" x14ac:dyDescent="0.25">
      <c r="A154" s="15">
        <v>9</v>
      </c>
      <c r="B154" s="98" t="str">
        <f t="shared" ca="1" si="213"/>
        <v>Agosto</v>
      </c>
      <c r="C154" s="98">
        <f t="shared" ca="1" si="215"/>
        <v>7.7300000000000003E-4</v>
      </c>
      <c r="D154" s="98">
        <f t="shared" ca="1" si="214"/>
        <v>0</v>
      </c>
      <c r="E154" s="98">
        <f t="shared" ca="1" si="214"/>
        <v>0</v>
      </c>
      <c r="F154" s="98">
        <f t="shared" ca="1" si="214"/>
        <v>0</v>
      </c>
      <c r="G154" s="98">
        <f t="shared" ca="1" si="214"/>
        <v>0</v>
      </c>
      <c r="H154" s="98">
        <f t="shared" ca="1" si="214"/>
        <v>0</v>
      </c>
      <c r="K154" s="75" t="s">
        <v>108</v>
      </c>
      <c r="L154" s="79">
        <v>610.5</v>
      </c>
      <c r="M154" s="80" t="s">
        <v>109</v>
      </c>
      <c r="N154" s="78">
        <v>2336.9511438023419</v>
      </c>
      <c r="O154" s="75" t="s">
        <v>782</v>
      </c>
      <c r="P154" s="508">
        <v>2</v>
      </c>
      <c r="Q154" s="539"/>
      <c r="U154" s="48"/>
      <c r="V154" s="48"/>
      <c r="Y154" s="82"/>
      <c r="Z154" s="80"/>
      <c r="AA154" s="48"/>
      <c r="AI154" s="82"/>
      <c r="AJ154" s="80"/>
      <c r="AK154" s="48"/>
      <c r="AT154" s="82"/>
      <c r="AU154" s="80"/>
      <c r="AV154" s="48"/>
      <c r="BP154" s="75" t="s">
        <v>145</v>
      </c>
      <c r="BQ154" s="76" t="e">
        <f>IF([0]!Casilla2,φe_H1_C1,VLOOKUP(Seccion1!provincia_C1,datos_temperatura_julio[],$L$57+1,FALSE))</f>
        <v>#NAME?</v>
      </c>
      <c r="BR154" s="112"/>
      <c r="BS154" s="80" t="s">
        <v>162</v>
      </c>
      <c r="BT154" s="17"/>
      <c r="BY154" s="48"/>
      <c r="BZ154" s="48"/>
      <c r="CB154" s="49"/>
      <c r="CC154" s="112"/>
      <c r="CD154" s="80" t="s">
        <v>162</v>
      </c>
      <c r="CE154" s="48"/>
      <c r="CM154" s="49"/>
      <c r="CN154" s="112"/>
      <c r="CO154" s="80" t="s">
        <v>162</v>
      </c>
      <c r="CP154" s="48"/>
      <c r="CY154" s="112"/>
      <c r="CZ154" s="80" t="s">
        <v>162</v>
      </c>
      <c r="DA154" s="48"/>
      <c r="DI154" s="49"/>
    </row>
    <row r="155" spans="1:113" ht="18.75" thickBot="1" x14ac:dyDescent="0.4">
      <c r="A155" s="15">
        <v>10</v>
      </c>
      <c r="B155" s="98" t="str">
        <f t="shared" ca="1" si="213"/>
        <v>Septiembre</v>
      </c>
      <c r="C155" s="98">
        <f t="shared" ca="1" si="215"/>
        <v>7.6300000000000001E-4</v>
      </c>
      <c r="D155" s="98">
        <f t="shared" ca="1" si="214"/>
        <v>0</v>
      </c>
      <c r="E155" s="98">
        <f t="shared" ca="1" si="214"/>
        <v>0</v>
      </c>
      <c r="F155" s="98">
        <f t="shared" ca="1" si="214"/>
        <v>0</v>
      </c>
      <c r="G155" s="98">
        <f t="shared" ca="1" si="214"/>
        <v>0</v>
      </c>
      <c r="H155" s="98">
        <f t="shared" ca="1" si="214"/>
        <v>0</v>
      </c>
      <c r="K155" s="486" t="s">
        <v>156</v>
      </c>
      <c r="L155" s="509">
        <v>512.81999999999994</v>
      </c>
      <c r="M155" s="115" t="s">
        <v>781</v>
      </c>
      <c r="N155" s="487">
        <v>1168.475571901171</v>
      </c>
      <c r="O155" s="75" t="s">
        <v>161</v>
      </c>
      <c r="P155" s="508">
        <v>2.174602070609444E-11</v>
      </c>
      <c r="Q155" s="539"/>
      <c r="Y155" s="79"/>
      <c r="Z155" s="80"/>
      <c r="AA155" s="79"/>
      <c r="AI155" s="79"/>
      <c r="AJ155" s="80"/>
      <c r="AK155" s="79"/>
      <c r="AT155" s="79"/>
      <c r="AU155" s="80"/>
      <c r="AV155" s="79"/>
      <c r="BP155" s="75" t="s">
        <v>108</v>
      </c>
      <c r="BQ155" s="78">
        <f ca="1">IF(ISNUMBER(ϴe_H3_C1),IF(ϴe_H3_C1&gt;=0,610.5*EXP((17.269*ϴe_H3_C1)/(237.3+ϴe_H3_C1)),610.5*EXP((21.875*ϴe_H3_C1)/(265.5+ϴe_H3_C1))),NA())</f>
        <v>871.86452524041533</v>
      </c>
      <c r="BR155" s="113"/>
      <c r="BS155" s="80" t="s">
        <v>125</v>
      </c>
      <c r="BT155" s="79"/>
      <c r="CB155" s="49"/>
      <c r="CC155" s="113"/>
      <c r="CD155" s="80" t="s">
        <v>125</v>
      </c>
      <c r="CE155" s="79"/>
      <c r="CM155" s="49"/>
      <c r="CN155" s="113"/>
      <c r="CO155" s="80" t="s">
        <v>125</v>
      </c>
      <c r="CP155" s="79"/>
      <c r="CY155" s="113"/>
      <c r="CZ155" s="80" t="s">
        <v>125</v>
      </c>
      <c r="DA155" s="79"/>
      <c r="DI155" s="49"/>
    </row>
    <row r="156" spans="1:113" ht="18" x14ac:dyDescent="0.35">
      <c r="A156" s="15">
        <v>11</v>
      </c>
      <c r="B156" s="98" t="str">
        <f t="shared" ca="1" si="213"/>
        <v>Octubre</v>
      </c>
      <c r="C156" s="98">
        <f t="shared" ca="1" si="215"/>
        <v>8.2300000000000006E-4</v>
      </c>
      <c r="D156" s="98">
        <f t="shared" ca="1" si="214"/>
        <v>0</v>
      </c>
      <c r="E156" s="98">
        <f t="shared" ca="1" si="214"/>
        <v>0</v>
      </c>
      <c r="F156" s="98">
        <f t="shared" ca="1" si="214"/>
        <v>0</v>
      </c>
      <c r="G156" s="98">
        <f t="shared" ca="1" si="214"/>
        <v>0</v>
      </c>
      <c r="H156" s="98">
        <f t="shared" ca="1" si="214"/>
        <v>0</v>
      </c>
      <c r="K156" s="68" t="s">
        <v>779</v>
      </c>
      <c r="L156" s="70" t="b">
        <v>0</v>
      </c>
      <c r="M156" s="38"/>
      <c r="N156" s="72"/>
      <c r="O156" s="75" t="s">
        <v>628</v>
      </c>
      <c r="P156" s="49"/>
      <c r="Q156" s="539"/>
      <c r="Y156" s="79"/>
      <c r="Z156" s="80"/>
      <c r="AA156" s="82"/>
      <c r="AI156" s="79"/>
      <c r="AJ156" s="80"/>
      <c r="AK156" s="82"/>
      <c r="AT156" s="79"/>
      <c r="AU156" s="80"/>
      <c r="AV156" s="82"/>
      <c r="BP156" s="81" t="s">
        <v>109</v>
      </c>
      <c r="BQ156" s="78" t="e">
        <f>IF(ISNUMBER([0]!ϴi_C1),IF([0]!ϴi_C1&gt;=0,610.5*EXP((17.269*[0]!ϴi_C1)/(237.3+[0]!ϴi_C1)),610.5*EXP((21.875*[0]!ϴi_C1)/(265.5+[0]!ϴi_C1))),NA())</f>
        <v>#N/A</v>
      </c>
      <c r="BR156" s="113"/>
      <c r="BS156" s="80" t="s">
        <v>126</v>
      </c>
      <c r="BT156" s="82"/>
      <c r="CB156" s="49"/>
      <c r="CC156" s="113"/>
      <c r="CD156" s="80" t="s">
        <v>126</v>
      </c>
      <c r="CE156" s="82"/>
      <c r="CM156" s="49"/>
      <c r="CN156" s="113"/>
      <c r="CO156" s="80" t="s">
        <v>126</v>
      </c>
      <c r="CP156" s="82"/>
      <c r="CY156" s="113"/>
      <c r="CZ156" s="80" t="s">
        <v>126</v>
      </c>
      <c r="DA156" s="82"/>
      <c r="DI156" s="49"/>
    </row>
    <row r="157" spans="1:113" ht="18" x14ac:dyDescent="0.35">
      <c r="A157" s="15">
        <v>12</v>
      </c>
      <c r="B157" s="98" t="str">
        <f t="shared" ca="1" si="213"/>
        <v>Noviembre</v>
      </c>
      <c r="C157" s="98">
        <f t="shared" ca="1" si="215"/>
        <v>1.013E-3</v>
      </c>
      <c r="D157" s="98">
        <f t="shared" ca="1" si="214"/>
        <v>0</v>
      </c>
      <c r="E157" s="98">
        <f t="shared" ca="1" si="214"/>
        <v>0</v>
      </c>
      <c r="F157" s="98">
        <f t="shared" ca="1" si="214"/>
        <v>0</v>
      </c>
      <c r="G157" s="98">
        <f t="shared" ca="1" si="214"/>
        <v>0</v>
      </c>
      <c r="H157" s="98">
        <f t="shared" ca="1" si="214"/>
        <v>0</v>
      </c>
      <c r="K157" s="75" t="s">
        <v>125</v>
      </c>
      <c r="L157" s="79">
        <v>1460.5944648764637</v>
      </c>
      <c r="M157" s="80" t="s">
        <v>126</v>
      </c>
      <c r="N157" s="76">
        <v>12.624608302600743</v>
      </c>
      <c r="O157" s="43"/>
      <c r="P157" s="49"/>
      <c r="Q157" s="539"/>
      <c r="Y157" s="79"/>
      <c r="Z157" s="80"/>
      <c r="AA157" s="83"/>
      <c r="AI157" s="79"/>
      <c r="AJ157" s="80"/>
      <c r="AK157" s="83"/>
      <c r="AT157" s="79"/>
      <c r="AU157" s="80"/>
      <c r="AV157" s="83"/>
      <c r="BP157" s="75" t="s">
        <v>156</v>
      </c>
      <c r="BQ157" s="78">
        <f ca="1">P_sat_e_VN_C1*φe_H3_C1</f>
        <v>767.24078221156549</v>
      </c>
      <c r="BR157" s="113"/>
      <c r="BS157" s="80" t="s">
        <v>127</v>
      </c>
      <c r="BT157" s="83"/>
      <c r="CB157" s="49"/>
      <c r="CC157" s="113"/>
      <c r="CD157" s="80" t="s">
        <v>127</v>
      </c>
      <c r="CE157" s="83"/>
      <c r="CM157" s="49"/>
      <c r="CN157" s="113"/>
      <c r="CO157" s="80" t="s">
        <v>127</v>
      </c>
      <c r="CP157" s="83"/>
      <c r="CY157" s="113"/>
      <c r="CZ157" s="80" t="s">
        <v>127</v>
      </c>
      <c r="DA157" s="83"/>
      <c r="DI157" s="49"/>
    </row>
    <row r="158" spans="1:113" ht="18.75" thickBot="1" x14ac:dyDescent="0.4">
      <c r="B158" s="518" t="s">
        <v>798</v>
      </c>
      <c r="C158" s="518" t="s">
        <v>790</v>
      </c>
      <c r="D158" s="518" t="s">
        <v>791</v>
      </c>
      <c r="E158" s="518" t="s">
        <v>792</v>
      </c>
      <c r="F158" s="518" t="s">
        <v>793</v>
      </c>
      <c r="G158" s="518" t="s">
        <v>794</v>
      </c>
      <c r="H158" s="518" t="s">
        <v>795</v>
      </c>
      <c r="K158" s="486" t="s">
        <v>127</v>
      </c>
      <c r="L158" s="512">
        <v>0.63123041513003719</v>
      </c>
      <c r="M158" s="115" t="s">
        <v>122</v>
      </c>
      <c r="N158" s="510">
        <v>0.35252364981738177</v>
      </c>
      <c r="O158" s="57"/>
      <c r="P158" s="61"/>
      <c r="Q158" s="539"/>
      <c r="Y158" s="22"/>
      <c r="Z158" s="80"/>
      <c r="AA158" s="22"/>
      <c r="AI158" s="22"/>
      <c r="AJ158" s="80"/>
      <c r="AK158" s="22"/>
      <c r="AT158" s="22"/>
      <c r="AU158" s="80"/>
      <c r="AV158" s="22"/>
      <c r="BP158" s="75"/>
      <c r="BR158" s="114"/>
      <c r="BS158" s="80" t="s">
        <v>122</v>
      </c>
      <c r="BT158" s="22"/>
      <c r="CB158" s="49"/>
      <c r="CC158" s="114"/>
      <c r="CD158" s="80" t="s">
        <v>122</v>
      </c>
      <c r="CE158" s="22"/>
      <c r="CM158" s="49"/>
      <c r="CN158" s="114"/>
      <c r="CO158" s="80" t="s">
        <v>122</v>
      </c>
      <c r="CP158" s="22"/>
      <c r="CY158" s="114"/>
      <c r="CZ158" s="80" t="s">
        <v>122</v>
      </c>
      <c r="DA158" s="22"/>
      <c r="DI158" s="49"/>
    </row>
    <row r="159" spans="1:113" x14ac:dyDescent="0.25">
      <c r="A159" s="15">
        <v>1</v>
      </c>
      <c r="B159" s="98" t="str">
        <f t="shared" ca="1" si="213"/>
        <v>Diciembre</v>
      </c>
      <c r="C159" s="98">
        <f ca="1">C131</f>
        <v>0</v>
      </c>
      <c r="D159" s="98">
        <f t="shared" ref="D159:H159" ca="1" si="216">D131</f>
        <v>0</v>
      </c>
      <c r="E159" s="98">
        <f t="shared" ca="1" si="216"/>
        <v>0</v>
      </c>
      <c r="F159" s="98">
        <f t="shared" ca="1" si="216"/>
        <v>0</v>
      </c>
      <c r="G159" s="98">
        <f t="shared" ca="1" si="216"/>
        <v>0</v>
      </c>
      <c r="H159" s="98">
        <f t="shared" ca="1" si="216"/>
        <v>0</v>
      </c>
      <c r="K159" s="80"/>
      <c r="N159" s="28"/>
      <c r="O159" s="17"/>
      <c r="Q159" s="539"/>
      <c r="Z159" s="28"/>
      <c r="AA159" s="17"/>
      <c r="AJ159" s="28"/>
      <c r="AK159" s="17"/>
      <c r="AU159" s="28"/>
      <c r="AV159" s="17"/>
      <c r="BP159" s="43"/>
      <c r="BQ159" s="49"/>
      <c r="BR159" s="43"/>
      <c r="BS159" s="28" t="s">
        <v>159</v>
      </c>
      <c r="BT159" s="17"/>
      <c r="CB159" s="49"/>
      <c r="CC159" s="43"/>
      <c r="CD159" s="28" t="s">
        <v>159</v>
      </c>
      <c r="CE159" s="17"/>
      <c r="CM159" s="49"/>
      <c r="CN159" s="43"/>
      <c r="CO159" s="28" t="s">
        <v>159</v>
      </c>
      <c r="CP159" s="17"/>
      <c r="CY159" s="43"/>
      <c r="CZ159" s="28" t="s">
        <v>159</v>
      </c>
      <c r="DA159" s="17"/>
      <c r="DI159" s="49"/>
    </row>
    <row r="160" spans="1:113" ht="15.75" thickBot="1" x14ac:dyDescent="0.3">
      <c r="A160" s="15">
        <v>2</v>
      </c>
      <c r="B160" s="98" t="str">
        <f t="shared" ca="1" si="213"/>
        <v>Enero</v>
      </c>
      <c r="C160" s="98">
        <f ca="1">IF(C132+C159&lt;0,0,C132+C159)</f>
        <v>0</v>
      </c>
      <c r="D160" s="98">
        <f t="shared" ref="D160:D170" ca="1" si="217">IF(D132+D159&lt;0,0,D132+D159)</f>
        <v>0</v>
      </c>
      <c r="E160" s="98">
        <f t="shared" ref="E160:E170" ca="1" si="218">IF(E132+E159&lt;0,0,E132+E159)</f>
        <v>0</v>
      </c>
      <c r="F160" s="98">
        <f t="shared" ref="F160:F170" ca="1" si="219">IF(F132+F159&lt;0,0,F132+F159)</f>
        <v>0</v>
      </c>
      <c r="G160" s="98">
        <f t="shared" ref="G160:G170" ca="1" si="220">IF(G132+G159&lt;0,0,G132+G159)</f>
        <v>0</v>
      </c>
      <c r="H160" s="98">
        <f t="shared" ref="H160:H170" ca="1" si="221">IF(H132+H159&lt;0,0,H132+H159)</f>
        <v>0</v>
      </c>
      <c r="K160" s="80"/>
      <c r="N160" s="80"/>
      <c r="Q160" s="539"/>
      <c r="Z160" s="80"/>
      <c r="AA160" s="17"/>
      <c r="AJ160" s="80"/>
      <c r="AK160" s="17"/>
      <c r="AU160" s="80"/>
      <c r="AV160" s="17"/>
      <c r="BP160" s="57"/>
      <c r="BQ160" s="61"/>
      <c r="BR160" s="57"/>
      <c r="BS160" s="115" t="s">
        <v>161</v>
      </c>
      <c r="BT160" s="58"/>
      <c r="BU160" s="58"/>
      <c r="BV160" s="58"/>
      <c r="BW160" s="58"/>
      <c r="BX160" s="58"/>
      <c r="BY160" s="58"/>
      <c r="BZ160" s="58"/>
      <c r="CA160" s="58"/>
      <c r="CB160" s="61"/>
      <c r="CC160" s="57"/>
      <c r="CD160" s="115" t="s">
        <v>161</v>
      </c>
      <c r="CE160" s="84"/>
      <c r="CF160" s="58"/>
      <c r="CG160" s="58"/>
      <c r="CH160" s="58"/>
      <c r="CI160" s="58"/>
      <c r="CJ160" s="58"/>
      <c r="CK160" s="58"/>
      <c r="CL160" s="58"/>
      <c r="CM160" s="61"/>
      <c r="CN160" s="57"/>
      <c r="CO160" s="115" t="s">
        <v>161</v>
      </c>
      <c r="CP160" s="84"/>
      <c r="CQ160" s="58"/>
      <c r="CR160" s="58"/>
      <c r="CS160" s="58"/>
      <c r="CT160" s="58"/>
      <c r="CU160" s="58"/>
      <c r="CV160" s="58"/>
      <c r="CW160" s="58"/>
      <c r="CX160" s="58"/>
      <c r="CY160" s="57"/>
      <c r="CZ160" s="115" t="s">
        <v>161</v>
      </c>
      <c r="DA160" s="84"/>
      <c r="DB160" s="58"/>
      <c r="DC160" s="58"/>
      <c r="DD160" s="58"/>
      <c r="DE160" s="58"/>
      <c r="DF160" s="58"/>
      <c r="DG160" s="58"/>
      <c r="DH160" s="58"/>
      <c r="DI160" s="61"/>
    </row>
    <row r="161" spans="1:113" ht="15.75" thickBot="1" x14ac:dyDescent="0.3">
      <c r="A161" s="15">
        <v>3</v>
      </c>
      <c r="B161" s="98" t="str">
        <f t="shared" ca="1" si="213"/>
        <v>Febrero</v>
      </c>
      <c r="C161" s="98">
        <f t="shared" ref="C161:C170" ca="1" si="222">IF(C133+C160&lt;0,0,C133+C160)</f>
        <v>0</v>
      </c>
      <c r="D161" s="98">
        <f t="shared" ca="1" si="217"/>
        <v>0</v>
      </c>
      <c r="E161" s="98">
        <f t="shared" ca="1" si="218"/>
        <v>0</v>
      </c>
      <c r="F161" s="98">
        <f t="shared" ca="1" si="219"/>
        <v>0</v>
      </c>
      <c r="G161" s="98">
        <f t="shared" ca="1" si="220"/>
        <v>0</v>
      </c>
      <c r="H161" s="98">
        <f t="shared" ca="1" si="221"/>
        <v>0</v>
      </c>
      <c r="K161" s="516" t="s">
        <v>179</v>
      </c>
      <c r="L161" s="30">
        <v>3</v>
      </c>
      <c r="M161" s="110" t="str">
        <f>VLOOKUP(L161,Aux!$AL$72:$AM$83,2,FALSE)</f>
        <v>Marzo</v>
      </c>
      <c r="N161" s="32"/>
      <c r="O161" s="32"/>
      <c r="P161" s="32"/>
      <c r="Q161" s="540"/>
      <c r="R161" s="32"/>
      <c r="S161" s="32"/>
      <c r="T161" s="32"/>
      <c r="U161" s="32"/>
      <c r="V161" s="32"/>
      <c r="W161" s="32"/>
      <c r="X161" s="32"/>
      <c r="Y161" s="32"/>
      <c r="Z161" s="32"/>
      <c r="AA161" s="33"/>
    </row>
    <row r="162" spans="1:113" ht="15.75" thickBot="1" x14ac:dyDescent="0.3">
      <c r="A162" s="15">
        <v>4</v>
      </c>
      <c r="B162" s="98" t="str">
        <f t="shared" ca="1" si="213"/>
        <v>Marzo</v>
      </c>
      <c r="C162" s="98">
        <f t="shared" ca="1" si="222"/>
        <v>0</v>
      </c>
      <c r="D162" s="98">
        <f t="shared" ca="1" si="217"/>
        <v>0</v>
      </c>
      <c r="E162" s="98">
        <f t="shared" ca="1" si="218"/>
        <v>0</v>
      </c>
      <c r="F162" s="98">
        <f t="shared" ca="1" si="219"/>
        <v>0</v>
      </c>
      <c r="G162" s="98">
        <f t="shared" ca="1" si="220"/>
        <v>0</v>
      </c>
      <c r="H162" s="98">
        <f t="shared" ca="1" si="221"/>
        <v>0</v>
      </c>
      <c r="K162" s="42" t="s">
        <v>120</v>
      </c>
      <c r="L162" s="41" t="s">
        <v>121</v>
      </c>
      <c r="M162" s="515" t="s">
        <v>265</v>
      </c>
      <c r="N162" s="35" t="s">
        <v>146</v>
      </c>
      <c r="O162" s="35" t="s">
        <v>806</v>
      </c>
      <c r="P162" s="35" t="s">
        <v>167</v>
      </c>
      <c r="Q162" s="35" t="s">
        <v>807</v>
      </c>
      <c r="R162" s="35" t="s">
        <v>783</v>
      </c>
      <c r="S162" s="532" t="s">
        <v>170</v>
      </c>
      <c r="T162" s="40" t="s">
        <v>178</v>
      </c>
      <c r="U162" s="40" t="s">
        <v>169</v>
      </c>
      <c r="V162" s="40" t="s">
        <v>168</v>
      </c>
      <c r="W162" s="40" t="s">
        <v>175</v>
      </c>
      <c r="X162" s="41" t="s">
        <v>176</v>
      </c>
      <c r="AB162" s="80"/>
      <c r="AG162" s="80"/>
      <c r="AH162" s="17"/>
      <c r="AI162" s="17"/>
      <c r="AJ162" s="80"/>
      <c r="AK162" s="22"/>
      <c r="AM162" s="80"/>
      <c r="AN162" s="80"/>
      <c r="AO162" s="80"/>
      <c r="AP162" s="80"/>
      <c r="AQ162" s="80"/>
      <c r="AR162" s="80"/>
      <c r="AS162" s="17"/>
      <c r="AT162" s="17"/>
      <c r="AU162" s="80"/>
      <c r="AV162" s="22"/>
      <c r="AX162" s="80"/>
      <c r="AY162" s="80"/>
      <c r="AZ162" s="80"/>
      <c r="BA162" s="80"/>
      <c r="BB162" s="80"/>
      <c r="BC162" s="80"/>
      <c r="BD162" s="17"/>
      <c r="BP162" s="29" t="s">
        <v>179</v>
      </c>
      <c r="BQ162" s="30">
        <v>4</v>
      </c>
      <c r="BR162" s="110"/>
      <c r="BS162" s="34" t="s">
        <v>163</v>
      </c>
      <c r="BT162" s="31">
        <f ca="1">P_sat_i_VN_C1*VLOOKUP(1,φi[],2,FALSE)</f>
        <v>1519.0182434715223</v>
      </c>
      <c r="BU162" s="32"/>
      <c r="BV162" s="32"/>
      <c r="BW162" s="32"/>
      <c r="BX162" s="32"/>
      <c r="BY162" s="32"/>
      <c r="BZ162" s="32"/>
      <c r="CA162" s="34" t="s">
        <v>267</v>
      </c>
      <c r="CB162" s="30">
        <f>VLOOKUP(1,φi[],2,FALSE)</f>
        <v>0.65</v>
      </c>
      <c r="CC162" s="110"/>
      <c r="CD162" s="34" t="s">
        <v>164</v>
      </c>
      <c r="CE162" s="31">
        <f ca="1">P_sat_i_VN_C1*VLOOKUP(2,φi[],2,FALSE)</f>
        <v>1752.7133578517564</v>
      </c>
      <c r="CF162" s="34"/>
      <c r="CG162" s="34"/>
      <c r="CH162" s="32"/>
      <c r="CI162" s="32"/>
      <c r="CJ162" s="32"/>
      <c r="CK162" s="32"/>
      <c r="CL162" s="34" t="s">
        <v>268</v>
      </c>
      <c r="CM162" s="30">
        <f>VLOOKUP(2,φi[],2,FALSE)</f>
        <v>0.75</v>
      </c>
      <c r="CN162" s="110"/>
      <c r="CO162" s="34" t="s">
        <v>165</v>
      </c>
      <c r="CP162" s="31">
        <f ca="1">P_sat_i_VN_C1*VLOOKUP(3,φi[],2,FALSE)</f>
        <v>1869.5609150418736</v>
      </c>
      <c r="CQ162" s="32"/>
      <c r="CR162" s="34"/>
      <c r="CS162" s="34"/>
      <c r="CT162" s="34"/>
      <c r="CU162" s="34"/>
      <c r="CV162" s="34"/>
      <c r="CW162" s="34" t="s">
        <v>269</v>
      </c>
      <c r="CX162" s="116">
        <f>VLOOKUP(3,φi[],2,FALSE)</f>
        <v>0.8</v>
      </c>
      <c r="CY162" s="110"/>
      <c r="CZ162" s="34" t="s">
        <v>166</v>
      </c>
      <c r="DA162" s="31">
        <f ca="1">P_sat_i_VN_C1*Seccion1!φi_C1</f>
        <v>747.82436601674965</v>
      </c>
      <c r="DB162" s="32"/>
      <c r="DC162" s="34"/>
      <c r="DD162" s="34"/>
      <c r="DE162" s="34"/>
      <c r="DF162" s="34"/>
      <c r="DG162" s="34"/>
      <c r="DH162" s="34" t="s">
        <v>154</v>
      </c>
      <c r="DI162" s="30"/>
    </row>
    <row r="163" spans="1:113" x14ac:dyDescent="0.25">
      <c r="A163" s="15">
        <v>5</v>
      </c>
      <c r="B163" s="98" t="str">
        <f t="shared" ca="1" si="213"/>
        <v>Abril</v>
      </c>
      <c r="C163" s="98">
        <f t="shared" ca="1" si="222"/>
        <v>0</v>
      </c>
      <c r="D163" s="98">
        <f t="shared" ca="1" si="217"/>
        <v>0</v>
      </c>
      <c r="E163" s="98">
        <f t="shared" ca="1" si="218"/>
        <v>0</v>
      </c>
      <c r="F163" s="98">
        <f t="shared" ca="1" si="219"/>
        <v>0</v>
      </c>
      <c r="G163" s="98">
        <f t="shared" ca="1" si="220"/>
        <v>0</v>
      </c>
      <c r="H163" s="98">
        <f t="shared" ca="1" si="221"/>
        <v>0</v>
      </c>
      <c r="J163" s="517"/>
      <c r="K163" s="46">
        <v>4</v>
      </c>
      <c r="L163" s="47">
        <v>812.84818061486487</v>
      </c>
      <c r="M163" s="54"/>
      <c r="N163" s="44" t="s">
        <v>107</v>
      </c>
      <c r="O163" s="44" t="e">
        <v>#N/A</v>
      </c>
      <c r="P163" s="44" t="e">
        <v>#N/A</v>
      </c>
      <c r="Q163" s="541"/>
      <c r="R163" s="44"/>
      <c r="S163" s="533"/>
      <c r="T163" s="44"/>
      <c r="U163" s="44"/>
      <c r="V163" s="44"/>
      <c r="W163" s="44"/>
      <c r="X163" s="531"/>
      <c r="AB163" s="35"/>
      <c r="AC163" s="35"/>
      <c r="AD163" s="35"/>
      <c r="AE163" s="35"/>
      <c r="AF163" s="35"/>
      <c r="AG163" s="35"/>
      <c r="AH163" s="35"/>
      <c r="AI163" s="511"/>
      <c r="AJ163" s="35"/>
      <c r="AK163" s="35"/>
      <c r="AL163" s="35"/>
      <c r="AM163" s="35"/>
      <c r="AN163" s="35"/>
      <c r="AO163" s="35"/>
      <c r="AP163" s="35"/>
      <c r="AQ163" s="35"/>
      <c r="AR163" s="35"/>
      <c r="AS163" s="35"/>
      <c r="AT163" s="511"/>
      <c r="AU163" s="35"/>
      <c r="AV163" s="35"/>
      <c r="AW163" s="35"/>
      <c r="AX163" s="35"/>
      <c r="AY163" s="35"/>
      <c r="AZ163" s="35"/>
      <c r="BA163" s="35"/>
      <c r="BB163" s="35"/>
      <c r="BC163" s="35"/>
      <c r="BD163" s="35"/>
      <c r="BP163" s="42" t="s">
        <v>120</v>
      </c>
      <c r="BQ163" s="41" t="s">
        <v>121</v>
      </c>
      <c r="BR163" s="42" t="s">
        <v>265</v>
      </c>
      <c r="BS163" s="40" t="s">
        <v>146</v>
      </c>
      <c r="BT163" s="40" t="s">
        <v>147</v>
      </c>
      <c r="BU163" s="40" t="s">
        <v>170</v>
      </c>
      <c r="BV163" s="40" t="s">
        <v>178</v>
      </c>
      <c r="BW163" s="40" t="s">
        <v>169</v>
      </c>
      <c r="BX163" s="40" t="s">
        <v>168</v>
      </c>
      <c r="BY163" s="40" t="s">
        <v>175</v>
      </c>
      <c r="BZ163" s="40" t="s">
        <v>176</v>
      </c>
      <c r="CA163" s="40" t="s">
        <v>167</v>
      </c>
      <c r="CB163" s="41" t="s">
        <v>266</v>
      </c>
      <c r="CC163" s="42" t="s">
        <v>265</v>
      </c>
      <c r="CD163" s="40" t="s">
        <v>148</v>
      </c>
      <c r="CE163" s="40" t="s">
        <v>149</v>
      </c>
      <c r="CF163" s="40" t="s">
        <v>170</v>
      </c>
      <c r="CG163" s="40" t="s">
        <v>178</v>
      </c>
      <c r="CH163" s="40" t="s">
        <v>169</v>
      </c>
      <c r="CI163" s="40" t="s">
        <v>168</v>
      </c>
      <c r="CJ163" s="40" t="s">
        <v>175</v>
      </c>
      <c r="CK163" s="40" t="s">
        <v>176</v>
      </c>
      <c r="CL163" s="40" t="s">
        <v>171</v>
      </c>
      <c r="CM163" s="41" t="s">
        <v>266</v>
      </c>
      <c r="CN163" s="42" t="s">
        <v>265</v>
      </c>
      <c r="CO163" s="40" t="s">
        <v>150</v>
      </c>
      <c r="CP163" s="40" t="s">
        <v>151</v>
      </c>
      <c r="CQ163" s="40" t="s">
        <v>170</v>
      </c>
      <c r="CR163" s="40" t="s">
        <v>178</v>
      </c>
      <c r="CS163" s="40" t="s">
        <v>169</v>
      </c>
      <c r="CT163" s="40" t="s">
        <v>168</v>
      </c>
      <c r="CU163" s="40" t="s">
        <v>175</v>
      </c>
      <c r="CV163" s="40" t="s">
        <v>176</v>
      </c>
      <c r="CW163" s="40" t="s">
        <v>172</v>
      </c>
      <c r="CX163" s="41" t="s">
        <v>266</v>
      </c>
      <c r="CY163" s="42" t="s">
        <v>265</v>
      </c>
      <c r="CZ163" s="40" t="s">
        <v>152</v>
      </c>
      <c r="DA163" s="40" t="s">
        <v>153</v>
      </c>
      <c r="DB163" s="40" t="s">
        <v>170</v>
      </c>
      <c r="DC163" s="40" t="s">
        <v>178</v>
      </c>
      <c r="DD163" s="40" t="s">
        <v>169</v>
      </c>
      <c r="DE163" s="40" t="s">
        <v>168</v>
      </c>
      <c r="DF163" s="40" t="s">
        <v>175</v>
      </c>
      <c r="DG163" s="40" t="s">
        <v>176</v>
      </c>
      <c r="DH163" s="40" t="s">
        <v>177</v>
      </c>
      <c r="DI163" s="41" t="s">
        <v>266</v>
      </c>
    </row>
    <row r="164" spans="1:113" x14ac:dyDescent="0.25">
      <c r="A164" s="15">
        <v>6</v>
      </c>
      <c r="B164" s="98" t="str">
        <f t="shared" ca="1" si="213"/>
        <v>Mayo</v>
      </c>
      <c r="C164" s="98">
        <f t="shared" ca="1" si="222"/>
        <v>0</v>
      </c>
      <c r="D164" s="98">
        <f t="shared" ca="1" si="217"/>
        <v>0</v>
      </c>
      <c r="E164" s="98">
        <f t="shared" ca="1" si="218"/>
        <v>0</v>
      </c>
      <c r="F164" s="98">
        <f t="shared" ca="1" si="219"/>
        <v>0</v>
      </c>
      <c r="G164" s="98">
        <f t="shared" ca="1" si="220"/>
        <v>0</v>
      </c>
      <c r="H164" s="98">
        <f t="shared" ca="1" si="221"/>
        <v>0</v>
      </c>
      <c r="J164" s="517"/>
      <c r="K164" s="53">
        <v>4.092552422270427</v>
      </c>
      <c r="L164" s="47">
        <v>818.15819450299966</v>
      </c>
      <c r="M164" s="54">
        <v>0.48275830717330165</v>
      </c>
      <c r="N164" s="55">
        <v>634.02158087959458</v>
      </c>
      <c r="O164" s="55">
        <v>0</v>
      </c>
      <c r="P164" s="50">
        <f ca="1">IF(ISNA(T164),
_xlfn.FORECAST.LINEAR($J60,INDIRECT(W164),INDIRECT(X164)),T164)</f>
        <v>634.02158087959458</v>
      </c>
      <c r="Q164" s="514"/>
      <c r="R164" s="50"/>
      <c r="S164" s="535">
        <f t="array" ref="S164">SUM(IF(ISNUMBER(T$164:T164),1,0))+IF($J164&gt;Capas_VN_C1,1,0)</f>
        <v>1</v>
      </c>
      <c r="T164" s="50">
        <f>IF(O164=1,$L164,L181)</f>
        <v>634.02158087959458</v>
      </c>
      <c r="U164" s="50">
        <f t="shared" ref="U164:U176" si="223">VLOOKUP($J165,$S$164:$T$176,2,FALSE)</f>
        <v>634.02158087959458</v>
      </c>
      <c r="V164" s="50">
        <f t="shared" ref="V164:V176" si="224">INDEX($J$60:$J$72,MATCH(U164,T$164:T$176,0))</f>
        <v>0</v>
      </c>
      <c r="W164" s="50" t="str">
        <f t="shared" ref="W164:W176" si="225">CONCATENATE(ADDRESS(ROW(U$164)-1+S164,COLUMN(U$164)),":",ADDRESS(ROW(U$164)+S164,COLUMN(U$164)))</f>
        <v>$U$164:$U$165</v>
      </c>
      <c r="X164" s="214" t="str">
        <f t="shared" ref="X164:X176" si="226">CONCATENATE(ADDRESS(ROW(V$164)-1+S164,COLUMN(V$164)),":",ADDRESS(ROW(V$164)+S164,COLUMN(V$164)))</f>
        <v>$V$164:$V$165</v>
      </c>
      <c r="AC164" s="48"/>
      <c r="AD164" s="48"/>
      <c r="AE164" s="48"/>
      <c r="AF164" s="48"/>
      <c r="AI164" s="51"/>
      <c r="AJ164" s="44"/>
      <c r="AK164" s="44"/>
      <c r="AN164" s="48"/>
      <c r="AO164" s="48"/>
      <c r="AP164" s="48"/>
      <c r="AQ164" s="48"/>
      <c r="AT164" s="51"/>
      <c r="AU164" s="44"/>
      <c r="AV164" s="44"/>
      <c r="AY164" s="48"/>
      <c r="AZ164" s="48"/>
      <c r="BA164" s="48"/>
      <c r="BB164" s="48"/>
      <c r="BP164" s="46"/>
      <c r="BQ164" s="52"/>
      <c r="BR164" s="54"/>
      <c r="BS164" s="44"/>
      <c r="BT164" s="44"/>
      <c r="BW164" s="48"/>
      <c r="BX164" s="48"/>
      <c r="BY164" s="48"/>
      <c r="BZ164" s="48"/>
      <c r="CB164" s="49"/>
      <c r="CC164" s="54"/>
      <c r="CD164" s="44"/>
      <c r="CE164" s="44"/>
      <c r="CH164" s="48"/>
      <c r="CI164" s="48"/>
      <c r="CJ164" s="48"/>
      <c r="CK164" s="48"/>
      <c r="CM164" s="49"/>
      <c r="CN164" s="54"/>
      <c r="CO164" s="44"/>
      <c r="CP164" s="44"/>
      <c r="CS164" s="48"/>
      <c r="CT164" s="48"/>
      <c r="CU164" s="48"/>
      <c r="CV164" s="48"/>
      <c r="CY164" s="54"/>
      <c r="CZ164" s="44"/>
      <c r="DA164" s="44"/>
      <c r="DD164" s="48"/>
      <c r="DE164" s="48"/>
      <c r="DF164" s="48"/>
      <c r="DG164" s="48"/>
      <c r="DI164" s="49"/>
    </row>
    <row r="165" spans="1:113" x14ac:dyDescent="0.25">
      <c r="A165" s="15">
        <v>7</v>
      </c>
      <c r="B165" s="98" t="str">
        <f t="shared" ca="1" si="213"/>
        <v>Junio</v>
      </c>
      <c r="C165" s="98">
        <f t="shared" ca="1" si="222"/>
        <v>0</v>
      </c>
      <c r="D165" s="98">
        <f t="shared" ca="1" si="217"/>
        <v>0</v>
      </c>
      <c r="E165" s="98">
        <f t="shared" ca="1" si="218"/>
        <v>0</v>
      </c>
      <c r="F165" s="98">
        <f t="shared" ca="1" si="219"/>
        <v>0</v>
      </c>
      <c r="G165" s="98">
        <f t="shared" ca="1" si="220"/>
        <v>0</v>
      </c>
      <c r="H165" s="98">
        <f t="shared" ca="1" si="221"/>
        <v>0</v>
      </c>
      <c r="J165" s="15">
        <v>1</v>
      </c>
      <c r="K165" s="53">
        <v>4.2082429501084597</v>
      </c>
      <c r="L165" s="47">
        <v>824.83872985415019</v>
      </c>
      <c r="M165" s="54">
        <v>9.1149266556407813</v>
      </c>
      <c r="N165" s="55">
        <v>1154.6845500855725</v>
      </c>
      <c r="O165" s="55">
        <f t="array" aca="1" ref="O165:O176" ca="1">IF((N165:N176&gt;=L165:L176)+(R139:R150&gt;0),1,0)</f>
        <v>1</v>
      </c>
      <c r="P165" s="50">
        <f t="shared" ref="P165:P176" ca="1" si="227">IF(ISNA(T165),
_xlfn.FORECAST.LINEAR($J61,INDIRECT(W165),INDIRECT(X165)),T165)</f>
        <v>824.83872985415019</v>
      </c>
      <c r="Q165" s="534">
        <f ca="1">IF(O165=1,δ_0*(SLOPE(INDIRECT(VLOOKUP(S165,$S$164:$X$176,5,FALSE)),INDIRECT(VLOOKUP(S165,$S$164:$X$176,6,FALSE)))-SLOPE(INDIRECT(VLOOKUP(S165-1,$S$164:$X$176,5,FALSE)),INDIRECT(VLOOKUP(S165-1,$S$164:$X$176,6,FALSE)))),0)*86400*VLOOKUP($L$161,Aux!$AL$72:$AN$83,3,FALSE)</f>
        <v>2.4358739581019319E-4</v>
      </c>
      <c r="R165" s="534">
        <f ca="1">IFERROR(IF(Q165+R139&lt;0,0,Q165+R139),0)</f>
        <v>1.0116744570692273E-3</v>
      </c>
      <c r="S165" s="535">
        <f t="array" aca="1" ref="S165" ca="1">SUM(IF(ISNUMBER(T$164:T165),1,0))+IF($J165&gt;Capas_VN_C1,1,0)</f>
        <v>2</v>
      </c>
      <c r="T165" s="50">
        <f t="shared" ref="T165:T176" ca="1" si="228">IF(O165=1,$L165,IF(J165=Capas_VN_C1,$N$181,NA()))</f>
        <v>824.83872985415019</v>
      </c>
      <c r="U165" s="50">
        <f t="shared" ca="1" si="223"/>
        <v>824.83872985415019</v>
      </c>
      <c r="V165" s="50">
        <f t="shared" ca="1" si="224"/>
        <v>5000</v>
      </c>
      <c r="W165" s="50" t="str">
        <f t="shared" ca="1" si="225"/>
        <v>$U$165:$U$166</v>
      </c>
      <c r="X165" s="214" t="str">
        <f t="shared" ca="1" si="226"/>
        <v>$V$165:$V$166</v>
      </c>
      <c r="AB165" s="51"/>
      <c r="AC165" s="51"/>
      <c r="AD165" s="51"/>
      <c r="AE165" s="48"/>
      <c r="AF165" s="48"/>
      <c r="AG165" s="50"/>
      <c r="AH165" s="50"/>
      <c r="AI165" s="51"/>
      <c r="AJ165" s="50"/>
      <c r="AK165" s="55"/>
      <c r="AL165" s="55"/>
      <c r="AM165" s="51"/>
      <c r="AN165" s="51"/>
      <c r="AO165" s="51"/>
      <c r="AP165" s="48"/>
      <c r="AQ165" s="48"/>
      <c r="AR165" s="50"/>
      <c r="AS165" s="50"/>
      <c r="AT165" s="51"/>
      <c r="AU165" s="50"/>
      <c r="AV165" s="55"/>
      <c r="AW165" s="55"/>
      <c r="AX165" s="50"/>
      <c r="AY165" s="51"/>
      <c r="AZ165" s="51"/>
      <c r="BA165" s="48"/>
      <c r="BB165" s="48"/>
      <c r="BC165" s="50"/>
      <c r="BD165" s="50"/>
      <c r="BP165" s="53"/>
      <c r="BQ165" s="52"/>
      <c r="BR165" s="54"/>
      <c r="BS165" s="50"/>
      <c r="BT165" s="55"/>
      <c r="BU165" s="55"/>
      <c r="BV165" s="51"/>
      <c r="BW165" s="51"/>
      <c r="BX165" s="51"/>
      <c r="BY165" s="48"/>
      <c r="BZ165" s="48"/>
      <c r="CA165" s="50"/>
      <c r="CB165" s="52"/>
      <c r="CC165" s="54"/>
      <c r="CD165" s="50"/>
      <c r="CE165" s="55"/>
      <c r="CF165" s="55"/>
      <c r="CG165" s="51"/>
      <c r="CH165" s="51"/>
      <c r="CI165" s="51"/>
      <c r="CJ165" s="48"/>
      <c r="CK165" s="48"/>
      <c r="CL165" s="50"/>
      <c r="CM165" s="52"/>
      <c r="CN165" s="54"/>
      <c r="CO165" s="50"/>
      <c r="CP165" s="55"/>
      <c r="CQ165" s="55"/>
      <c r="CR165" s="51"/>
      <c r="CS165" s="51"/>
      <c r="CT165" s="51"/>
      <c r="CU165" s="48"/>
      <c r="CV165" s="48"/>
      <c r="CW165" s="50"/>
      <c r="CX165" s="50"/>
      <c r="CY165" s="54"/>
      <c r="CZ165" s="50"/>
      <c r="DA165" s="55"/>
      <c r="DB165" s="55"/>
      <c r="DC165" s="50"/>
      <c r="DD165" s="51"/>
      <c r="DE165" s="51"/>
      <c r="DF165" s="48"/>
      <c r="DG165" s="48"/>
      <c r="DH165" s="50"/>
      <c r="DI165" s="52"/>
    </row>
    <row r="166" spans="1:113" x14ac:dyDescent="0.25">
      <c r="A166" s="15">
        <v>8</v>
      </c>
      <c r="B166" s="98" t="str">
        <f t="shared" ca="1" si="213"/>
        <v>Julio</v>
      </c>
      <c r="C166" s="98">
        <f t="shared" ca="1" si="222"/>
        <v>0</v>
      </c>
      <c r="D166" s="98">
        <f t="shared" ca="1" si="217"/>
        <v>0</v>
      </c>
      <c r="E166" s="98">
        <f t="shared" ca="1" si="218"/>
        <v>0</v>
      </c>
      <c r="F166" s="98">
        <f t="shared" ca="1" si="219"/>
        <v>0</v>
      </c>
      <c r="G166" s="98">
        <f t="shared" ca="1" si="220"/>
        <v>0</v>
      </c>
      <c r="H166" s="98">
        <f t="shared" ca="1" si="221"/>
        <v>0</v>
      </c>
      <c r="J166" s="15">
        <v>2</v>
      </c>
      <c r="K166" s="53">
        <v>11.149674620390456</v>
      </c>
      <c r="L166" s="47">
        <v>1325.1210693310247</v>
      </c>
      <c r="M166" s="54">
        <v>9.1349861068538889</v>
      </c>
      <c r="N166" s="55">
        <v>1156.2465389931904</v>
      </c>
      <c r="O166" s="55">
        <f ca="1"/>
        <v>0</v>
      </c>
      <c r="P166" s="50">
        <f t="shared" ca="1" si="227"/>
        <v>832.23206492031068</v>
      </c>
      <c r="Q166" s="534">
        <f ca="1">IF(O166=1,δ_0*(SLOPE(INDIRECT(VLOOKUP(S166,$S$164:$X$176,5,FALSE)),INDIRECT(VLOOKUP(S166,$S$164:$X$176,6,FALSE)))-SLOPE(INDIRECT(VLOOKUP(S166-1,$S$164:$X$176,5,FALSE)),INDIRECT(VLOOKUP(S166-1,$S$164:$X$176,6,FALSE)))),0)*86400*VLOOKUP($L$161,Aux!$AL$72:$AN$83,3,FALSE)</f>
        <v>0</v>
      </c>
      <c r="R166" s="534">
        <f t="shared" ref="R166:R176" ca="1" si="229">IFERROR(IF(Q166+R140&lt;0,0,Q166+R140),0)</f>
        <v>0</v>
      </c>
      <c r="S166" s="535">
        <f t="array" aca="1" ref="S166" ca="1">SUM(IF(ISNUMBER(T$164:T166),1,0))+IF($J166&gt;Capas_VN_C1,1,0)</f>
        <v>2</v>
      </c>
      <c r="T166" s="50" t="e">
        <f t="shared" ca="1" si="228"/>
        <v>#N/A</v>
      </c>
      <c r="U166" s="50">
        <f t="shared" ca="1" si="223"/>
        <v>1325.1210693310247</v>
      </c>
      <c r="V166" s="50">
        <f t="shared" ca="1" si="224"/>
        <v>6015</v>
      </c>
      <c r="W166" s="50" t="str">
        <f t="shared" ca="1" si="225"/>
        <v>$U$165:$U$166</v>
      </c>
      <c r="X166" s="214" t="str">
        <f t="shared" ca="1" si="226"/>
        <v>$V$165:$V$166</v>
      </c>
      <c r="AB166" s="51"/>
      <c r="AC166" s="51"/>
      <c r="AD166" s="51"/>
      <c r="AE166" s="48"/>
      <c r="AF166" s="48"/>
      <c r="AG166" s="50"/>
      <c r="AH166" s="50"/>
      <c r="AI166" s="51"/>
      <c r="AJ166" s="50"/>
      <c r="AK166" s="55"/>
      <c r="AL166" s="55"/>
      <c r="AM166" s="51"/>
      <c r="AN166" s="51"/>
      <c r="AO166" s="51"/>
      <c r="AP166" s="48"/>
      <c r="AQ166" s="48"/>
      <c r="AR166" s="50"/>
      <c r="AS166" s="50"/>
      <c r="AT166" s="51"/>
      <c r="AU166" s="50"/>
      <c r="AV166" s="55"/>
      <c r="AW166" s="55"/>
      <c r="AX166" s="50"/>
      <c r="AY166" s="51"/>
      <c r="AZ166" s="51"/>
      <c r="BA166" s="48"/>
      <c r="BB166" s="48"/>
      <c r="BC166" s="50"/>
      <c r="BD166" s="50"/>
      <c r="BP166" s="53"/>
      <c r="BQ166" s="52"/>
      <c r="BR166" s="54"/>
      <c r="BS166" s="50"/>
      <c r="BT166" s="55"/>
      <c r="BU166" s="55"/>
      <c r="BV166" s="51"/>
      <c r="BW166" s="51"/>
      <c r="BX166" s="51"/>
      <c r="BY166" s="48"/>
      <c r="BZ166" s="48"/>
      <c r="CA166" s="50"/>
      <c r="CB166" s="52"/>
      <c r="CC166" s="54"/>
      <c r="CD166" s="50"/>
      <c r="CE166" s="55"/>
      <c r="CF166" s="55"/>
      <c r="CG166" s="51"/>
      <c r="CH166" s="51"/>
      <c r="CI166" s="51"/>
      <c r="CJ166" s="48"/>
      <c r="CK166" s="48"/>
      <c r="CL166" s="50"/>
      <c r="CM166" s="52"/>
      <c r="CN166" s="54"/>
      <c r="CO166" s="50"/>
      <c r="CP166" s="55"/>
      <c r="CQ166" s="55"/>
      <c r="CR166" s="51"/>
      <c r="CS166" s="51"/>
      <c r="CT166" s="51"/>
      <c r="CU166" s="48"/>
      <c r="CV166" s="48"/>
      <c r="CW166" s="50"/>
      <c r="CX166" s="50"/>
      <c r="CY166" s="54"/>
      <c r="CZ166" s="50"/>
      <c r="DA166" s="55"/>
      <c r="DB166" s="55"/>
      <c r="DC166" s="50"/>
      <c r="DD166" s="51"/>
      <c r="DE166" s="51"/>
      <c r="DF166" s="48"/>
      <c r="DG166" s="48"/>
      <c r="DH166" s="50"/>
      <c r="DI166" s="52"/>
    </row>
    <row r="167" spans="1:113" x14ac:dyDescent="0.25">
      <c r="A167" s="15">
        <v>9</v>
      </c>
      <c r="B167" s="98" t="str">
        <f t="shared" ca="1" si="213"/>
        <v>Agosto</v>
      </c>
      <c r="C167" s="98">
        <f t="shared" ca="1" si="222"/>
        <v>0</v>
      </c>
      <c r="D167" s="98">
        <f t="shared" ca="1" si="217"/>
        <v>0</v>
      </c>
      <c r="E167" s="98">
        <f t="shared" ca="1" si="218"/>
        <v>0</v>
      </c>
      <c r="F167" s="98">
        <f t="shared" ca="1" si="219"/>
        <v>0</v>
      </c>
      <c r="G167" s="98">
        <f t="shared" ca="1" si="220"/>
        <v>0</v>
      </c>
      <c r="H167" s="98">
        <f t="shared" ca="1" si="221"/>
        <v>0</v>
      </c>
      <c r="J167" s="15">
        <v>3</v>
      </c>
      <c r="K167" s="53">
        <v>11.149674620390456</v>
      </c>
      <c r="L167" s="47">
        <v>1325.1210693310247</v>
      </c>
      <c r="M167" s="54">
        <v>10.420610351265861</v>
      </c>
      <c r="N167" s="55">
        <v>1260.3791328343859</v>
      </c>
      <c r="O167" s="55">
        <f ca="1"/>
        <v>1</v>
      </c>
      <c r="P167" s="50">
        <f t="shared" ca="1" si="227"/>
        <v>1325.1210693310247</v>
      </c>
      <c r="Q167" s="534">
        <f ca="1">IF(O167=1,δ_0*(SLOPE(INDIRECT(VLOOKUP(S167,$S$164:$X$176,5,FALSE)),INDIRECT(VLOOKUP(S167,$S$164:$X$176,6,FALSE)))-SLOPE(INDIRECT(VLOOKUP(S167-1,$S$164:$X$176,5,FALSE)),INDIRECT(VLOOKUP(S167-1,$S$164:$X$176,6,FALSE)))),0)*86400*VLOOKUP($L$161,Aux!$AL$72:$AN$83,3,FALSE)</f>
        <v>-2.5019633556091023E-3</v>
      </c>
      <c r="R167" s="534">
        <f t="shared" ca="1" si="229"/>
        <v>0</v>
      </c>
      <c r="S167" s="535">
        <f t="array" aca="1" ref="S167" ca="1">SUM(IF(ISNUMBER(T$164:T167),1,0))+IF($J167&gt;Capas_VN_C1,1,0)</f>
        <v>3</v>
      </c>
      <c r="T167" s="50">
        <f t="shared" ca="1" si="228"/>
        <v>1325.1210693310247</v>
      </c>
      <c r="U167" s="50">
        <f t="shared" ca="1" si="223"/>
        <v>1261.9536176532647</v>
      </c>
      <c r="V167" s="50">
        <f t="shared" ca="1" si="224"/>
        <v>6030.12</v>
      </c>
      <c r="W167" s="50" t="str">
        <f t="shared" ca="1" si="225"/>
        <v>$U$166:$U$167</v>
      </c>
      <c r="X167" s="214" t="str">
        <f t="shared" ca="1" si="226"/>
        <v>$V$166:$V$167</v>
      </c>
      <c r="AB167" s="51"/>
      <c r="AC167" s="51"/>
      <c r="AD167" s="51"/>
      <c r="AE167" s="48"/>
      <c r="AF167" s="48"/>
      <c r="AG167" s="50"/>
      <c r="AH167" s="50"/>
      <c r="AI167" s="51"/>
      <c r="AJ167" s="50"/>
      <c r="AK167" s="55"/>
      <c r="AL167" s="55"/>
      <c r="AM167" s="51"/>
      <c r="AN167" s="51"/>
      <c r="AO167" s="51"/>
      <c r="AP167" s="48"/>
      <c r="AQ167" s="48"/>
      <c r="AR167" s="50"/>
      <c r="AS167" s="50"/>
      <c r="AT167" s="51"/>
      <c r="AU167" s="50"/>
      <c r="AV167" s="55"/>
      <c r="AW167" s="55"/>
      <c r="AX167" s="50"/>
      <c r="AY167" s="51"/>
      <c r="AZ167" s="51"/>
      <c r="BA167" s="48"/>
      <c r="BB167" s="48"/>
      <c r="BC167" s="50"/>
      <c r="BD167" s="50"/>
      <c r="BP167" s="53"/>
      <c r="BQ167" s="52"/>
      <c r="BR167" s="54"/>
      <c r="BS167" s="50"/>
      <c r="BT167" s="55"/>
      <c r="BU167" s="55"/>
      <c r="BV167" s="51"/>
      <c r="BW167" s="51"/>
      <c r="BX167" s="51"/>
      <c r="BY167" s="48"/>
      <c r="BZ167" s="48"/>
      <c r="CA167" s="50"/>
      <c r="CB167" s="52"/>
      <c r="CC167" s="54"/>
      <c r="CD167" s="50"/>
      <c r="CE167" s="55"/>
      <c r="CF167" s="55"/>
      <c r="CG167" s="51"/>
      <c r="CH167" s="51"/>
      <c r="CI167" s="51"/>
      <c r="CJ167" s="48"/>
      <c r="CK167" s="48"/>
      <c r="CL167" s="50"/>
      <c r="CM167" s="52"/>
      <c r="CN167" s="54"/>
      <c r="CO167" s="50"/>
      <c r="CP167" s="55"/>
      <c r="CQ167" s="55"/>
      <c r="CR167" s="51"/>
      <c r="CS167" s="51"/>
      <c r="CT167" s="51"/>
      <c r="CU167" s="48"/>
      <c r="CV167" s="48"/>
      <c r="CW167" s="50"/>
      <c r="CX167" s="50"/>
      <c r="CY167" s="54"/>
      <c r="CZ167" s="50"/>
      <c r="DA167" s="55"/>
      <c r="DB167" s="55"/>
      <c r="DC167" s="50"/>
      <c r="DD167" s="51"/>
      <c r="DE167" s="51"/>
      <c r="DF167" s="48"/>
      <c r="DG167" s="48"/>
      <c r="DH167" s="50"/>
      <c r="DI167" s="52"/>
    </row>
    <row r="168" spans="1:113" x14ac:dyDescent="0.25">
      <c r="A168" s="15">
        <v>10</v>
      </c>
      <c r="B168" s="98" t="str">
        <f t="shared" ca="1" si="213"/>
        <v>Septiembre</v>
      </c>
      <c r="C168" s="98">
        <f t="shared" ca="1" si="222"/>
        <v>0</v>
      </c>
      <c r="D168" s="98">
        <f t="shared" ca="1" si="217"/>
        <v>0</v>
      </c>
      <c r="E168" s="98">
        <f t="shared" ca="1" si="218"/>
        <v>0</v>
      </c>
      <c r="F168" s="98">
        <f t="shared" ca="1" si="219"/>
        <v>0</v>
      </c>
      <c r="G168" s="98">
        <f t="shared" ca="1" si="220"/>
        <v>0</v>
      </c>
      <c r="H168" s="98">
        <f t="shared" ca="1" si="221"/>
        <v>0</v>
      </c>
      <c r="J168" s="15">
        <v>4</v>
      </c>
      <c r="K168" s="53">
        <v>19.595083152566886</v>
      </c>
      <c r="L168" s="47">
        <v>2279.0156029469304</v>
      </c>
      <c r="M168" s="54">
        <v>10.439162515556133</v>
      </c>
      <c r="N168" s="55">
        <v>1261.9411217420038</v>
      </c>
      <c r="O168" s="55">
        <f ca="1"/>
        <v>0</v>
      </c>
      <c r="P168" s="50">
        <f t="shared" ca="1" si="227"/>
        <v>1262.4549466348326</v>
      </c>
      <c r="Q168" s="534">
        <f ca="1">IF(O168=1,δ_0*(SLOPE(INDIRECT(VLOOKUP(S168,$S$164:$X$176,5,FALSE)),INDIRECT(VLOOKUP(S168,$S$164:$X$176,6,FALSE)))-SLOPE(INDIRECT(VLOOKUP(S168-1,$S$164:$X$176,5,FALSE)),INDIRECT(VLOOKUP(S168-1,$S$164:$X$176,6,FALSE)))),0)*86400*VLOOKUP($L$161,Aux!$AL$72:$AN$83,3,FALSE)</f>
        <v>0</v>
      </c>
      <c r="R168" s="534">
        <f t="shared" ca="1" si="229"/>
        <v>0</v>
      </c>
      <c r="S168" s="535">
        <f t="array" aca="1" ref="S168" ca="1">SUM(IF(ISNUMBER(T$164:T168),1,0))+IF($J168&gt;Capas_VN_C1,1,0)</f>
        <v>3</v>
      </c>
      <c r="T168" s="50" t="e">
        <f t="shared" ca="1" si="228"/>
        <v>#N/A</v>
      </c>
      <c r="U168" s="50" t="e">
        <f t="shared" ca="1" si="223"/>
        <v>#N/A</v>
      </c>
      <c r="V168" s="50" t="e">
        <f t="shared" ca="1" si="224"/>
        <v>#N/A</v>
      </c>
      <c r="W168" s="50" t="str">
        <f t="shared" ca="1" si="225"/>
        <v>$U$166:$U$167</v>
      </c>
      <c r="X168" s="214" t="str">
        <f t="shared" ca="1" si="226"/>
        <v>$V$166:$V$167</v>
      </c>
      <c r="AB168" s="51"/>
      <c r="AC168" s="51"/>
      <c r="AD168" s="51"/>
      <c r="AE168" s="48"/>
      <c r="AF168" s="48"/>
      <c r="AG168" s="50"/>
      <c r="AH168" s="50"/>
      <c r="AI168" s="51"/>
      <c r="AJ168" s="50"/>
      <c r="AK168" s="55"/>
      <c r="AL168" s="55"/>
      <c r="AM168" s="51"/>
      <c r="AN168" s="51"/>
      <c r="AO168" s="51"/>
      <c r="AP168" s="48"/>
      <c r="AQ168" s="48"/>
      <c r="AR168" s="50"/>
      <c r="AS168" s="50"/>
      <c r="AT168" s="51"/>
      <c r="AU168" s="50"/>
      <c r="AV168" s="55"/>
      <c r="AW168" s="55"/>
      <c r="AX168" s="50"/>
      <c r="AY168" s="51"/>
      <c r="AZ168" s="51"/>
      <c r="BA168" s="48"/>
      <c r="BB168" s="48"/>
      <c r="BC168" s="50"/>
      <c r="BD168" s="50"/>
      <c r="BP168" s="53"/>
      <c r="BQ168" s="52"/>
      <c r="BR168" s="54"/>
      <c r="BS168" s="50"/>
      <c r="BT168" s="55"/>
      <c r="BU168" s="55"/>
      <c r="BV168" s="51"/>
      <c r="BW168" s="51"/>
      <c r="BX168" s="51"/>
      <c r="BY168" s="48"/>
      <c r="BZ168" s="48"/>
      <c r="CA168" s="50"/>
      <c r="CB168" s="52"/>
      <c r="CC168" s="54"/>
      <c r="CD168" s="50"/>
      <c r="CE168" s="55"/>
      <c r="CF168" s="55"/>
      <c r="CG168" s="51"/>
      <c r="CH168" s="51"/>
      <c r="CI168" s="51"/>
      <c r="CJ168" s="48"/>
      <c r="CK168" s="48"/>
      <c r="CL168" s="50"/>
      <c r="CM168" s="52"/>
      <c r="CN168" s="54"/>
      <c r="CO168" s="50"/>
      <c r="CP168" s="55"/>
      <c r="CQ168" s="55"/>
      <c r="CR168" s="51"/>
      <c r="CS168" s="51"/>
      <c r="CT168" s="51"/>
      <c r="CU168" s="48"/>
      <c r="CV168" s="48"/>
      <c r="CW168" s="50"/>
      <c r="CX168" s="50"/>
      <c r="CY168" s="54"/>
      <c r="CZ168" s="50"/>
      <c r="DA168" s="55"/>
      <c r="DB168" s="55"/>
      <c r="DC168" s="50"/>
      <c r="DD168" s="51"/>
      <c r="DE168" s="51"/>
      <c r="DF168" s="48"/>
      <c r="DG168" s="48"/>
      <c r="DH168" s="50"/>
      <c r="DI168" s="52"/>
    </row>
    <row r="169" spans="1:113" x14ac:dyDescent="0.25">
      <c r="A169" s="15">
        <v>11</v>
      </c>
      <c r="B169" s="98" t="str">
        <f t="shared" ca="1" si="213"/>
        <v>Octubre</v>
      </c>
      <c r="C169" s="98">
        <f t="shared" ca="1" si="222"/>
        <v>0</v>
      </c>
      <c r="D169" s="98">
        <f t="shared" ca="1" si="217"/>
        <v>0</v>
      </c>
      <c r="E169" s="98">
        <f t="shared" ca="1" si="218"/>
        <v>0</v>
      </c>
      <c r="F169" s="98">
        <f t="shared" ca="1" si="219"/>
        <v>0</v>
      </c>
      <c r="G169" s="98">
        <f t="shared" ca="1" si="220"/>
        <v>0</v>
      </c>
      <c r="H169" s="98">
        <f t="shared" ca="1" si="221"/>
        <v>0</v>
      </c>
      <c r="J169" s="15">
        <v>5</v>
      </c>
      <c r="K169" s="53">
        <v>19.768618944323933</v>
      </c>
      <c r="L169" s="47">
        <v>2303.6894487854897</v>
      </c>
      <c r="M169" s="54">
        <v>10.439310850331916</v>
      </c>
      <c r="N169" s="55">
        <v>1261.9536176532647</v>
      </c>
      <c r="O169" s="55">
        <f ca="1"/>
        <v>0</v>
      </c>
      <c r="P169" s="50">
        <f t="shared" ca="1" si="227"/>
        <v>1261.9536176532647</v>
      </c>
      <c r="Q169" s="534">
        <f ca="1">IF(O169=1,δ_0*(SLOPE(INDIRECT(VLOOKUP(S169,$S$164:$X$176,5,FALSE)),INDIRECT(VLOOKUP(S169,$S$164:$X$176,6,FALSE)))-SLOPE(INDIRECT(VLOOKUP(S169-1,$S$164:$X$176,5,FALSE)),INDIRECT(VLOOKUP(S169-1,$S$164:$X$176,6,FALSE)))),0)*86400*VLOOKUP($L$161,Aux!$AL$72:$AN$83,3,FALSE)</f>
        <v>0</v>
      </c>
      <c r="R169" s="534">
        <f t="shared" ca="1" si="229"/>
        <v>0</v>
      </c>
      <c r="S169" s="535">
        <f t="array" aca="1" ref="S169" ca="1">SUM(IF(ISNUMBER(T$164:T169),1,0))+IF($J169&gt;Capas_VN_C1,1,0)</f>
        <v>4</v>
      </c>
      <c r="T169" s="50">
        <f t="shared" ca="1" si="228"/>
        <v>1261.9536176532647</v>
      </c>
      <c r="U169" s="50" t="e">
        <f t="shared" ca="1" si="223"/>
        <v>#N/A</v>
      </c>
      <c r="V169" s="50" t="e">
        <f t="shared" ca="1" si="224"/>
        <v>#N/A</v>
      </c>
      <c r="W169" s="50" t="str">
        <f t="shared" ca="1" si="225"/>
        <v>$U$167:$U$168</v>
      </c>
      <c r="X169" s="214" t="str">
        <f t="shared" ca="1" si="226"/>
        <v>$V$167:$V$168</v>
      </c>
      <c r="AB169" s="51"/>
      <c r="AC169" s="51"/>
      <c r="AD169" s="51"/>
      <c r="AE169" s="48"/>
      <c r="AF169" s="48"/>
      <c r="AG169" s="50"/>
      <c r="AH169" s="50"/>
      <c r="AI169" s="51"/>
      <c r="AJ169" s="50"/>
      <c r="AK169" s="55"/>
      <c r="AL169" s="55"/>
      <c r="AM169" s="51"/>
      <c r="AN169" s="51"/>
      <c r="AO169" s="51"/>
      <c r="AP169" s="48"/>
      <c r="AQ169" s="48"/>
      <c r="AR169" s="50"/>
      <c r="AS169" s="50"/>
      <c r="AT169" s="51"/>
      <c r="AU169" s="50"/>
      <c r="AV169" s="55"/>
      <c r="AW169" s="55"/>
      <c r="AX169" s="50"/>
      <c r="AY169" s="51"/>
      <c r="AZ169" s="51"/>
      <c r="BA169" s="48"/>
      <c r="BB169" s="48"/>
      <c r="BC169" s="50"/>
      <c r="BD169" s="50"/>
      <c r="BP169" s="53"/>
      <c r="BQ169" s="52"/>
      <c r="BR169" s="54"/>
      <c r="BS169" s="50"/>
      <c r="BT169" s="55"/>
      <c r="BU169" s="55"/>
      <c r="BV169" s="51"/>
      <c r="BW169" s="51"/>
      <c r="BX169" s="51"/>
      <c r="BY169" s="48"/>
      <c r="BZ169" s="48"/>
      <c r="CA169" s="50"/>
      <c r="CB169" s="52"/>
      <c r="CC169" s="54"/>
      <c r="CD169" s="50"/>
      <c r="CE169" s="55"/>
      <c r="CF169" s="55"/>
      <c r="CG169" s="51"/>
      <c r="CH169" s="51"/>
      <c r="CI169" s="51"/>
      <c r="CJ169" s="48"/>
      <c r="CK169" s="48"/>
      <c r="CL169" s="50"/>
      <c r="CM169" s="52"/>
      <c r="CN169" s="54"/>
      <c r="CO169" s="50"/>
      <c r="CP169" s="55"/>
      <c r="CQ169" s="55"/>
      <c r="CR169" s="51"/>
      <c r="CS169" s="51"/>
      <c r="CT169" s="51"/>
      <c r="CU169" s="48"/>
      <c r="CV169" s="48"/>
      <c r="CW169" s="50"/>
      <c r="CX169" s="50"/>
      <c r="CY169" s="54"/>
      <c r="CZ169" s="50"/>
      <c r="DA169" s="55"/>
      <c r="DB169" s="55"/>
      <c r="DC169" s="50"/>
      <c r="DD169" s="51"/>
      <c r="DE169" s="51"/>
      <c r="DF169" s="48"/>
      <c r="DG169" s="48"/>
      <c r="DH169" s="50"/>
      <c r="DI169" s="52"/>
    </row>
    <row r="170" spans="1:113" x14ac:dyDescent="0.25">
      <c r="A170" s="15">
        <v>12</v>
      </c>
      <c r="B170" s="98" t="str">
        <f t="shared" ca="1" si="213"/>
        <v>Noviembre</v>
      </c>
      <c r="C170" s="98">
        <f t="shared" ca="1" si="222"/>
        <v>0</v>
      </c>
      <c r="D170" s="98">
        <f t="shared" ca="1" si="217"/>
        <v>0</v>
      </c>
      <c r="E170" s="98">
        <f t="shared" ca="1" si="218"/>
        <v>0</v>
      </c>
      <c r="F170" s="98">
        <f t="shared" ca="1" si="219"/>
        <v>0</v>
      </c>
      <c r="G170" s="98">
        <f t="shared" ca="1" si="220"/>
        <v>0</v>
      </c>
      <c r="H170" s="98">
        <f t="shared" ca="1" si="221"/>
        <v>0</v>
      </c>
      <c r="J170" s="15">
        <v>6</v>
      </c>
      <c r="K170" s="53">
        <v>20</v>
      </c>
      <c r="L170" s="47">
        <v>2336.9511438023419</v>
      </c>
      <c r="M170" s="54" t="e">
        <v>#N/A</v>
      </c>
      <c r="N170" s="55" t="e">
        <v>#N/A</v>
      </c>
      <c r="O170" s="55" t="e">
        <f ca="1"/>
        <v>#N/A</v>
      </c>
      <c r="P170" s="50" t="e">
        <f t="shared" ca="1" si="227"/>
        <v>#N/A</v>
      </c>
      <c r="Q170" s="534" t="e">
        <f ca="1">IF(O170=1,δ_0*(SLOPE(INDIRECT(VLOOKUP(S170,$S$164:$X$176,5,FALSE)),INDIRECT(VLOOKUP(S170,$S$164:$X$176,6,FALSE)))-SLOPE(INDIRECT(VLOOKUP(S170-1,$S$164:$X$176,5,FALSE)),INDIRECT(VLOOKUP(S170-1,$S$164:$X$176,6,FALSE)))),0)*86400*VLOOKUP($L$161,Aux!$AL$72:$AN$83,3,FALSE)</f>
        <v>#N/A</v>
      </c>
      <c r="R170" s="534">
        <f t="shared" ca="1" si="229"/>
        <v>0</v>
      </c>
      <c r="S170" s="535">
        <f t="array" aca="1" ref="S170" ca="1">SUM(IF(ISNUMBER(T$164:T170),1,0))+IF($J170&gt;Capas_VN_C1,1,0)</f>
        <v>5</v>
      </c>
      <c r="T170" s="50" t="e">
        <f t="shared" ca="1" si="228"/>
        <v>#N/A</v>
      </c>
      <c r="U170" s="50" t="e">
        <f t="shared" ca="1" si="223"/>
        <v>#N/A</v>
      </c>
      <c r="V170" s="50" t="e">
        <f t="shared" ca="1" si="224"/>
        <v>#N/A</v>
      </c>
      <c r="W170" s="50" t="str">
        <f t="shared" ca="1" si="225"/>
        <v>$U$168:$U$169</v>
      </c>
      <c r="X170" s="214" t="str">
        <f t="shared" ca="1" si="226"/>
        <v>$V$168:$V$169</v>
      </c>
      <c r="AB170" s="51"/>
      <c r="AC170" s="51"/>
      <c r="AD170" s="51"/>
      <c r="AE170" s="48"/>
      <c r="AF170" s="48"/>
      <c r="AG170" s="50"/>
      <c r="AH170" s="50"/>
      <c r="AI170" s="51"/>
      <c r="AJ170" s="50"/>
      <c r="AK170" s="55"/>
      <c r="AL170" s="55"/>
      <c r="AM170" s="51"/>
      <c r="AN170" s="51"/>
      <c r="AO170" s="51"/>
      <c r="AP170" s="48"/>
      <c r="AQ170" s="48"/>
      <c r="AR170" s="50"/>
      <c r="AS170" s="50"/>
      <c r="AT170" s="51"/>
      <c r="AU170" s="50"/>
      <c r="AV170" s="55"/>
      <c r="AW170" s="55"/>
      <c r="AX170" s="50"/>
      <c r="AY170" s="51"/>
      <c r="AZ170" s="51"/>
      <c r="BA170" s="48"/>
      <c r="BB170" s="48"/>
      <c r="BC170" s="50"/>
      <c r="BD170" s="50"/>
      <c r="BP170" s="53"/>
      <c r="BQ170" s="52"/>
      <c r="BR170" s="54"/>
      <c r="BS170" s="50"/>
      <c r="BT170" s="55"/>
      <c r="BU170" s="55"/>
      <c r="BV170" s="51"/>
      <c r="BW170" s="51"/>
      <c r="BX170" s="51"/>
      <c r="BY170" s="48"/>
      <c r="BZ170" s="48"/>
      <c r="CA170" s="50"/>
      <c r="CB170" s="52"/>
      <c r="CC170" s="54"/>
      <c r="CD170" s="50"/>
      <c r="CE170" s="55"/>
      <c r="CF170" s="55"/>
      <c r="CG170" s="51"/>
      <c r="CH170" s="51"/>
      <c r="CI170" s="51"/>
      <c r="CJ170" s="48"/>
      <c r="CK170" s="48"/>
      <c r="CL170" s="50"/>
      <c r="CM170" s="52"/>
      <c r="CN170" s="54"/>
      <c r="CO170" s="50"/>
      <c r="CP170" s="55"/>
      <c r="CQ170" s="55"/>
      <c r="CR170" s="51"/>
      <c r="CS170" s="51"/>
      <c r="CT170" s="51"/>
      <c r="CU170" s="48"/>
      <c r="CV170" s="48"/>
      <c r="CW170" s="50"/>
      <c r="CX170" s="50"/>
      <c r="CY170" s="54"/>
      <c r="CZ170" s="50"/>
      <c r="DA170" s="55"/>
      <c r="DB170" s="55"/>
      <c r="DC170" s="50"/>
      <c r="DD170" s="51"/>
      <c r="DE170" s="51"/>
      <c r="DF170" s="48"/>
      <c r="DG170" s="48"/>
      <c r="DH170" s="50"/>
      <c r="DI170" s="52"/>
    </row>
    <row r="171" spans="1:113" x14ac:dyDescent="0.25">
      <c r="J171" s="15">
        <v>7</v>
      </c>
      <c r="K171" s="53" t="e">
        <v>#N/A</v>
      </c>
      <c r="L171" s="47" t="e">
        <v>#N/A</v>
      </c>
      <c r="M171" s="54" t="e">
        <v>#N/A</v>
      </c>
      <c r="N171" s="55" t="e">
        <v>#N/A</v>
      </c>
      <c r="O171" s="55" t="e">
        <f ca="1"/>
        <v>#N/A</v>
      </c>
      <c r="P171" s="50" t="e">
        <f t="shared" ca="1" si="227"/>
        <v>#N/A</v>
      </c>
      <c r="Q171" s="534" t="e">
        <f ca="1">IF(O171=1,δ_0*(SLOPE(INDIRECT(VLOOKUP(S171,$S$164:$X$176,5,FALSE)),INDIRECT(VLOOKUP(S171,$S$164:$X$176,6,FALSE)))-SLOPE(INDIRECT(VLOOKUP(S171-1,$S$164:$X$176,5,FALSE)),INDIRECT(VLOOKUP(S171-1,$S$164:$X$176,6,FALSE)))),0)*86400*VLOOKUP($L$161,Aux!$AL$72:$AN$83,3,FALSE)</f>
        <v>#N/A</v>
      </c>
      <c r="R171" s="534">
        <f t="shared" ca="1" si="229"/>
        <v>0</v>
      </c>
      <c r="S171" s="535">
        <f t="array" aca="1" ref="S171" ca="1">SUM(IF(ISNUMBER(T$164:T171),1,0))+IF($J171&gt;Capas_VN_C1,1,0)</f>
        <v>5</v>
      </c>
      <c r="T171" s="50" t="e">
        <f t="shared" ca="1" si="228"/>
        <v>#N/A</v>
      </c>
      <c r="U171" s="50" t="e">
        <f t="shared" ca="1" si="223"/>
        <v>#N/A</v>
      </c>
      <c r="V171" s="50" t="e">
        <f t="shared" ca="1" si="224"/>
        <v>#N/A</v>
      </c>
      <c r="W171" s="50" t="str">
        <f t="shared" ca="1" si="225"/>
        <v>$U$168:$U$169</v>
      </c>
      <c r="X171" s="214" t="str">
        <f t="shared" ca="1" si="226"/>
        <v>$V$168:$V$169</v>
      </c>
      <c r="AB171" s="51"/>
      <c r="AC171" s="51"/>
      <c r="AD171" s="51"/>
      <c r="AE171" s="48"/>
      <c r="AF171" s="48"/>
      <c r="AG171" s="50"/>
      <c r="AH171" s="50"/>
      <c r="AI171" s="51"/>
      <c r="AJ171" s="50"/>
      <c r="AK171" s="55"/>
      <c r="AL171" s="55"/>
      <c r="AM171" s="51"/>
      <c r="AN171" s="51"/>
      <c r="AO171" s="51"/>
      <c r="AP171" s="48"/>
      <c r="AQ171" s="48"/>
      <c r="AR171" s="50"/>
      <c r="AS171" s="50"/>
      <c r="AT171" s="51"/>
      <c r="AU171" s="50"/>
      <c r="AV171" s="55"/>
      <c r="AW171" s="55"/>
      <c r="AX171" s="50"/>
      <c r="AY171" s="51"/>
      <c r="AZ171" s="51"/>
      <c r="BA171" s="48"/>
      <c r="BB171" s="48"/>
      <c r="BC171" s="50"/>
      <c r="BD171" s="50"/>
      <c r="BP171" s="53"/>
      <c r="BQ171" s="52"/>
      <c r="BR171" s="54"/>
      <c r="BS171" s="50"/>
      <c r="BT171" s="55"/>
      <c r="BU171" s="55"/>
      <c r="BV171" s="51"/>
      <c r="BW171" s="51"/>
      <c r="BX171" s="51"/>
      <c r="BY171" s="48"/>
      <c r="BZ171" s="48"/>
      <c r="CA171" s="50"/>
      <c r="CB171" s="52"/>
      <c r="CC171" s="54"/>
      <c r="CD171" s="50"/>
      <c r="CE171" s="55"/>
      <c r="CF171" s="55"/>
      <c r="CG171" s="51"/>
      <c r="CH171" s="51"/>
      <c r="CI171" s="51"/>
      <c r="CJ171" s="48"/>
      <c r="CK171" s="48"/>
      <c r="CL171" s="50"/>
      <c r="CM171" s="52"/>
      <c r="CN171" s="54"/>
      <c r="CO171" s="50"/>
      <c r="CP171" s="55"/>
      <c r="CQ171" s="55"/>
      <c r="CR171" s="51"/>
      <c r="CS171" s="51"/>
      <c r="CT171" s="51"/>
      <c r="CU171" s="48"/>
      <c r="CV171" s="48"/>
      <c r="CW171" s="50"/>
      <c r="CX171" s="50"/>
      <c r="CY171" s="54"/>
      <c r="CZ171" s="50"/>
      <c r="DA171" s="55"/>
      <c r="DB171" s="55"/>
      <c r="DC171" s="50"/>
      <c r="DD171" s="51"/>
      <c r="DE171" s="51"/>
      <c r="DF171" s="48"/>
      <c r="DG171" s="48"/>
      <c r="DH171" s="50"/>
      <c r="DI171" s="52"/>
    </row>
    <row r="172" spans="1:113" x14ac:dyDescent="0.25">
      <c r="J172" s="15">
        <v>8</v>
      </c>
      <c r="K172" s="53" t="e">
        <v>#N/A</v>
      </c>
      <c r="L172" s="47" t="e">
        <v>#N/A</v>
      </c>
      <c r="M172" s="54" t="e">
        <v>#N/A</v>
      </c>
      <c r="N172" s="55" t="e">
        <v>#N/A</v>
      </c>
      <c r="O172" s="55" t="e">
        <f ca="1"/>
        <v>#N/A</v>
      </c>
      <c r="P172" s="50" t="e">
        <f t="shared" ca="1" si="227"/>
        <v>#N/A</v>
      </c>
      <c r="Q172" s="534" t="e">
        <f ca="1">IF(O172=1,δ_0*(SLOPE(INDIRECT(VLOOKUP(S172,$S$164:$X$176,5,FALSE)),INDIRECT(VLOOKUP(S172,$S$164:$X$176,6,FALSE)))-SLOPE(INDIRECT(VLOOKUP(S172-1,$S$164:$X$176,5,FALSE)),INDIRECT(VLOOKUP(S172-1,$S$164:$X$176,6,FALSE)))),0)*86400*VLOOKUP($L$161,Aux!$AL$72:$AN$83,3,FALSE)</f>
        <v>#N/A</v>
      </c>
      <c r="R172" s="534">
        <f t="shared" ca="1" si="229"/>
        <v>0</v>
      </c>
      <c r="S172" s="535">
        <f t="array" aca="1" ref="S172" ca="1">SUM(IF(ISNUMBER(T$164:T172),1,0))+IF($J172&gt;Capas_VN_C1,1,0)</f>
        <v>5</v>
      </c>
      <c r="T172" s="50" t="e">
        <f t="shared" ca="1" si="228"/>
        <v>#N/A</v>
      </c>
      <c r="U172" s="50" t="e">
        <f t="shared" ca="1" si="223"/>
        <v>#N/A</v>
      </c>
      <c r="V172" s="50" t="e">
        <f t="shared" ca="1" si="224"/>
        <v>#N/A</v>
      </c>
      <c r="W172" s="50" t="str">
        <f t="shared" ca="1" si="225"/>
        <v>$U$168:$U$169</v>
      </c>
      <c r="X172" s="214" t="str">
        <f t="shared" ca="1" si="226"/>
        <v>$V$168:$V$169</v>
      </c>
      <c r="AB172" s="51"/>
      <c r="AC172" s="51"/>
      <c r="AD172" s="51"/>
      <c r="AE172" s="48"/>
      <c r="AF172" s="48"/>
      <c r="AG172" s="50"/>
      <c r="AH172" s="50"/>
      <c r="AI172" s="51"/>
      <c r="AJ172" s="50"/>
      <c r="AK172" s="55"/>
      <c r="AL172" s="55"/>
      <c r="AM172" s="51"/>
      <c r="AN172" s="51"/>
      <c r="AO172" s="51"/>
      <c r="AP172" s="48"/>
      <c r="AQ172" s="48"/>
      <c r="AR172" s="50"/>
      <c r="AS172" s="50"/>
      <c r="AT172" s="51"/>
      <c r="AU172" s="50"/>
      <c r="AV172" s="55"/>
      <c r="AW172" s="55"/>
      <c r="AX172" s="50"/>
      <c r="AY172" s="51"/>
      <c r="AZ172" s="51"/>
      <c r="BA172" s="48"/>
      <c r="BB172" s="48"/>
      <c r="BC172" s="50"/>
      <c r="BD172" s="50"/>
      <c r="BP172" s="53"/>
      <c r="BQ172" s="52"/>
      <c r="BR172" s="54"/>
      <c r="BS172" s="50"/>
      <c r="BT172" s="55"/>
      <c r="BU172" s="55"/>
      <c r="BV172" s="51"/>
      <c r="BW172" s="51"/>
      <c r="BX172" s="51"/>
      <c r="BY172" s="48"/>
      <c r="BZ172" s="48"/>
      <c r="CA172" s="50"/>
      <c r="CB172" s="52"/>
      <c r="CC172" s="54"/>
      <c r="CD172" s="50"/>
      <c r="CE172" s="55"/>
      <c r="CF172" s="55"/>
      <c r="CG172" s="51"/>
      <c r="CH172" s="51"/>
      <c r="CI172" s="51"/>
      <c r="CJ172" s="48"/>
      <c r="CK172" s="48"/>
      <c r="CL172" s="50"/>
      <c r="CM172" s="52"/>
      <c r="CN172" s="54"/>
      <c r="CO172" s="50"/>
      <c r="CP172" s="55"/>
      <c r="CQ172" s="55"/>
      <c r="CR172" s="51"/>
      <c r="CS172" s="51"/>
      <c r="CT172" s="51"/>
      <c r="CU172" s="48"/>
      <c r="CV172" s="48"/>
      <c r="CW172" s="50"/>
      <c r="CX172" s="50"/>
      <c r="CY172" s="54"/>
      <c r="CZ172" s="50"/>
      <c r="DA172" s="55"/>
      <c r="DB172" s="55"/>
      <c r="DC172" s="50"/>
      <c r="DD172" s="51"/>
      <c r="DE172" s="51"/>
      <c r="DF172" s="48"/>
      <c r="DG172" s="48"/>
      <c r="DH172" s="50"/>
      <c r="DI172" s="52"/>
    </row>
    <row r="173" spans="1:113" x14ac:dyDescent="0.25">
      <c r="J173" s="15">
        <v>9</v>
      </c>
      <c r="K173" s="53" t="e">
        <v>#N/A</v>
      </c>
      <c r="L173" s="47" t="e">
        <v>#N/A</v>
      </c>
      <c r="M173" s="54" t="e">
        <v>#N/A</v>
      </c>
      <c r="N173" s="55" t="e">
        <v>#N/A</v>
      </c>
      <c r="O173" s="55" t="e">
        <f ca="1"/>
        <v>#N/A</v>
      </c>
      <c r="P173" s="50" t="e">
        <f t="shared" ca="1" si="227"/>
        <v>#N/A</v>
      </c>
      <c r="Q173" s="534" t="e">
        <f ca="1">IF(O173=1,δ_0*(SLOPE(INDIRECT(VLOOKUP(S173,$S$164:$X$176,5,FALSE)),INDIRECT(VLOOKUP(S173,$S$164:$X$176,6,FALSE)))-SLOPE(INDIRECT(VLOOKUP(S173-1,$S$164:$X$176,5,FALSE)),INDIRECT(VLOOKUP(S173-1,$S$164:$X$176,6,FALSE)))),0)*86400*VLOOKUP($L$161,Aux!$AL$72:$AN$83,3,FALSE)</f>
        <v>#N/A</v>
      </c>
      <c r="R173" s="534">
        <f t="shared" ca="1" si="229"/>
        <v>0</v>
      </c>
      <c r="S173" s="535">
        <f t="array" aca="1" ref="S173" ca="1">SUM(IF(ISNUMBER(T$164:T173),1,0))+IF($J173&gt;Capas_VN_C1,1,0)</f>
        <v>5</v>
      </c>
      <c r="T173" s="50" t="e">
        <f t="shared" ca="1" si="228"/>
        <v>#N/A</v>
      </c>
      <c r="U173" s="50" t="e">
        <f t="shared" ca="1" si="223"/>
        <v>#N/A</v>
      </c>
      <c r="V173" s="50" t="e">
        <f t="shared" ca="1" si="224"/>
        <v>#N/A</v>
      </c>
      <c r="W173" s="50" t="str">
        <f t="shared" ca="1" si="225"/>
        <v>$U$168:$U$169</v>
      </c>
      <c r="X173" s="214" t="str">
        <f t="shared" ca="1" si="226"/>
        <v>$V$168:$V$169</v>
      </c>
      <c r="AB173" s="51"/>
      <c r="AC173" s="51"/>
      <c r="AD173" s="51"/>
      <c r="AE173" s="48"/>
      <c r="AF173" s="48"/>
      <c r="AG173" s="50"/>
      <c r="AH173" s="50"/>
      <c r="AI173" s="51"/>
      <c r="AJ173" s="50"/>
      <c r="AK173" s="55"/>
      <c r="AL173" s="55"/>
      <c r="AM173" s="51"/>
      <c r="AN173" s="51"/>
      <c r="AO173" s="51"/>
      <c r="AP173" s="48"/>
      <c r="AQ173" s="48"/>
      <c r="AR173" s="50"/>
      <c r="AS173" s="50"/>
      <c r="AT173" s="51"/>
      <c r="AU173" s="50"/>
      <c r="AV173" s="55"/>
      <c r="AW173" s="55"/>
      <c r="AX173" s="50"/>
      <c r="AY173" s="51"/>
      <c r="AZ173" s="51"/>
      <c r="BA173" s="48"/>
      <c r="BB173" s="48"/>
      <c r="BC173" s="50"/>
      <c r="BD173" s="50"/>
      <c r="BP173" s="53"/>
      <c r="BQ173" s="52"/>
      <c r="BR173" s="54"/>
      <c r="BS173" s="50"/>
      <c r="BT173" s="55"/>
      <c r="BU173" s="55"/>
      <c r="BV173" s="51"/>
      <c r="BW173" s="51"/>
      <c r="BX173" s="51"/>
      <c r="BY173" s="48"/>
      <c r="BZ173" s="48"/>
      <c r="CA173" s="50"/>
      <c r="CB173" s="52"/>
      <c r="CC173" s="54"/>
      <c r="CD173" s="50"/>
      <c r="CE173" s="55"/>
      <c r="CF173" s="55"/>
      <c r="CG173" s="51"/>
      <c r="CH173" s="51"/>
      <c r="CI173" s="51"/>
      <c r="CJ173" s="48"/>
      <c r="CK173" s="48"/>
      <c r="CL173" s="50"/>
      <c r="CM173" s="52"/>
      <c r="CN173" s="54"/>
      <c r="CO173" s="50"/>
      <c r="CP173" s="55"/>
      <c r="CQ173" s="55"/>
      <c r="CR173" s="51"/>
      <c r="CS173" s="51"/>
      <c r="CT173" s="51"/>
      <c r="CU173" s="48"/>
      <c r="CV173" s="48"/>
      <c r="CW173" s="50"/>
      <c r="CX173" s="50"/>
      <c r="CY173" s="54"/>
      <c r="CZ173" s="50"/>
      <c r="DA173" s="55"/>
      <c r="DB173" s="55"/>
      <c r="DC173" s="50"/>
      <c r="DD173" s="51"/>
      <c r="DE173" s="51"/>
      <c r="DF173" s="48"/>
      <c r="DG173" s="48"/>
      <c r="DH173" s="50"/>
      <c r="DI173" s="52"/>
    </row>
    <row r="174" spans="1:113" x14ac:dyDescent="0.25">
      <c r="J174" s="15">
        <v>10</v>
      </c>
      <c r="K174" s="53" t="e">
        <v>#N/A</v>
      </c>
      <c r="L174" s="47" t="e">
        <v>#N/A</v>
      </c>
      <c r="M174" s="54" t="e">
        <v>#N/A</v>
      </c>
      <c r="N174" s="55" t="e">
        <v>#N/A</v>
      </c>
      <c r="O174" s="55" t="e">
        <f ca="1"/>
        <v>#N/A</v>
      </c>
      <c r="P174" s="50" t="e">
        <f t="shared" ca="1" si="227"/>
        <v>#N/A</v>
      </c>
      <c r="Q174" s="534" t="e">
        <f ca="1">IF(O174=1,δ_0*(SLOPE(INDIRECT(VLOOKUP(S174,$S$164:$X$176,5,FALSE)),INDIRECT(VLOOKUP(S174,$S$164:$X$176,6,FALSE)))-SLOPE(INDIRECT(VLOOKUP(S174-1,$S$164:$X$176,5,FALSE)),INDIRECT(VLOOKUP(S174-1,$S$164:$X$176,6,FALSE)))),0)*86400*VLOOKUP($L$161,Aux!$AL$72:$AN$83,3,FALSE)</f>
        <v>#N/A</v>
      </c>
      <c r="R174" s="534">
        <f t="shared" ca="1" si="229"/>
        <v>0</v>
      </c>
      <c r="S174" s="535">
        <f t="array" aca="1" ref="S174" ca="1">SUM(IF(ISNUMBER(T$164:T174),1,0))+IF($J174&gt;Capas_VN_C1,1,0)</f>
        <v>5</v>
      </c>
      <c r="T174" s="50" t="e">
        <f t="shared" ca="1" si="228"/>
        <v>#N/A</v>
      </c>
      <c r="U174" s="50" t="e">
        <f t="shared" ca="1" si="223"/>
        <v>#N/A</v>
      </c>
      <c r="V174" s="50" t="e">
        <f t="shared" ca="1" si="224"/>
        <v>#N/A</v>
      </c>
      <c r="W174" s="50" t="str">
        <f t="shared" ca="1" si="225"/>
        <v>$U$168:$U$169</v>
      </c>
      <c r="X174" s="214" t="str">
        <f t="shared" ca="1" si="226"/>
        <v>$V$168:$V$169</v>
      </c>
      <c r="AB174" s="51"/>
      <c r="AC174" s="51"/>
      <c r="AD174" s="51"/>
      <c r="AE174" s="48"/>
      <c r="AF174" s="48"/>
      <c r="AG174" s="50"/>
      <c r="AH174" s="50"/>
      <c r="AI174" s="51"/>
      <c r="AJ174" s="50"/>
      <c r="AK174" s="55"/>
      <c r="AL174" s="55"/>
      <c r="AM174" s="51"/>
      <c r="AN174" s="51"/>
      <c r="AO174" s="51"/>
      <c r="AP174" s="48"/>
      <c r="AQ174" s="48"/>
      <c r="AR174" s="50"/>
      <c r="AS174" s="50"/>
      <c r="AT174" s="51"/>
      <c r="AU174" s="50"/>
      <c r="AV174" s="55"/>
      <c r="AW174" s="55"/>
      <c r="AX174" s="50"/>
      <c r="AY174" s="51"/>
      <c r="AZ174" s="51"/>
      <c r="BA174" s="48"/>
      <c r="BB174" s="48"/>
      <c r="BC174" s="50"/>
      <c r="BD174" s="50"/>
      <c r="BP174" s="53"/>
      <c r="BQ174" s="52"/>
      <c r="BR174" s="54"/>
      <c r="BS174" s="50"/>
      <c r="BT174" s="55"/>
      <c r="BU174" s="55"/>
      <c r="BV174" s="51"/>
      <c r="BW174" s="51"/>
      <c r="BX174" s="51"/>
      <c r="BY174" s="48"/>
      <c r="BZ174" s="48"/>
      <c r="CA174" s="50"/>
      <c r="CB174" s="52"/>
      <c r="CC174" s="54"/>
      <c r="CD174" s="50"/>
      <c r="CE174" s="55"/>
      <c r="CF174" s="55"/>
      <c r="CG174" s="51"/>
      <c r="CH174" s="51"/>
      <c r="CI174" s="51"/>
      <c r="CJ174" s="48"/>
      <c r="CK174" s="48"/>
      <c r="CL174" s="50"/>
      <c r="CM174" s="52"/>
      <c r="CN174" s="54"/>
      <c r="CO174" s="50"/>
      <c r="CP174" s="55"/>
      <c r="CQ174" s="55"/>
      <c r="CR174" s="51"/>
      <c r="CS174" s="51"/>
      <c r="CT174" s="51"/>
      <c r="CU174" s="48"/>
      <c r="CV174" s="48"/>
      <c r="CW174" s="50"/>
      <c r="CX174" s="50"/>
      <c r="CY174" s="54"/>
      <c r="CZ174" s="50"/>
      <c r="DA174" s="55"/>
      <c r="DB174" s="55"/>
      <c r="DC174" s="50"/>
      <c r="DD174" s="51"/>
      <c r="DE174" s="51"/>
      <c r="DF174" s="48"/>
      <c r="DG174" s="48"/>
      <c r="DH174" s="50"/>
      <c r="DI174" s="52"/>
    </row>
    <row r="175" spans="1:113" x14ac:dyDescent="0.25">
      <c r="J175" s="15">
        <v>11</v>
      </c>
      <c r="K175" s="53" t="e">
        <v>#N/A</v>
      </c>
      <c r="L175" s="47" t="e">
        <v>#N/A</v>
      </c>
      <c r="M175" s="54" t="e">
        <v>#N/A</v>
      </c>
      <c r="N175" s="55" t="e">
        <v>#N/A</v>
      </c>
      <c r="O175" s="55" t="e">
        <f ca="1"/>
        <v>#N/A</v>
      </c>
      <c r="P175" s="50" t="e">
        <f t="shared" ca="1" si="227"/>
        <v>#N/A</v>
      </c>
      <c r="Q175" s="534" t="e">
        <f ca="1">IF(O175=1,δ_0*(SLOPE(INDIRECT(VLOOKUP(S175,$S$164:$X$176,5,FALSE)),INDIRECT(VLOOKUP(S175,$S$164:$X$176,6,FALSE)))-SLOPE(INDIRECT(VLOOKUP(S175-1,$S$164:$X$176,5,FALSE)),INDIRECT(VLOOKUP(S175-1,$S$164:$X$176,6,FALSE)))),0)*86400*VLOOKUP($L$161,Aux!$AL$72:$AN$83,3,FALSE)</f>
        <v>#N/A</v>
      </c>
      <c r="R175" s="534">
        <f t="shared" ca="1" si="229"/>
        <v>0</v>
      </c>
      <c r="S175" s="535">
        <f t="array" aca="1" ref="S175" ca="1">SUM(IF(ISNUMBER(T$164:T175),1,0))+IF($J175&gt;Capas_VN_C1,1,0)</f>
        <v>5</v>
      </c>
      <c r="T175" s="50" t="e">
        <f t="shared" ca="1" si="228"/>
        <v>#N/A</v>
      </c>
      <c r="U175" s="50" t="e">
        <f t="shared" ca="1" si="223"/>
        <v>#N/A</v>
      </c>
      <c r="V175" s="50" t="e">
        <f t="shared" ca="1" si="224"/>
        <v>#N/A</v>
      </c>
      <c r="W175" s="50" t="str">
        <f t="shared" ca="1" si="225"/>
        <v>$U$168:$U$169</v>
      </c>
      <c r="X175" s="214" t="str">
        <f t="shared" ca="1" si="226"/>
        <v>$V$168:$V$169</v>
      </c>
      <c r="AB175" s="51"/>
      <c r="AC175" s="51"/>
      <c r="AD175" s="51"/>
      <c r="AE175" s="48"/>
      <c r="AF175" s="48"/>
      <c r="AG175" s="50"/>
      <c r="AH175" s="50"/>
      <c r="AI175" s="51"/>
      <c r="AJ175" s="50"/>
      <c r="AK175" s="55"/>
      <c r="AL175" s="55"/>
      <c r="AM175" s="51"/>
      <c r="AN175" s="51"/>
      <c r="AO175" s="51"/>
      <c r="AP175" s="48"/>
      <c r="AQ175" s="48"/>
      <c r="AR175" s="50"/>
      <c r="AS175" s="50"/>
      <c r="AT175" s="51"/>
      <c r="AU175" s="50"/>
      <c r="AV175" s="55"/>
      <c r="AW175" s="55"/>
      <c r="AX175" s="50"/>
      <c r="AY175" s="51"/>
      <c r="AZ175" s="51"/>
      <c r="BA175" s="48"/>
      <c r="BB175" s="48"/>
      <c r="BC175" s="50"/>
      <c r="BD175" s="50"/>
      <c r="BP175" s="53"/>
      <c r="BQ175" s="52"/>
      <c r="BR175" s="54"/>
      <c r="BS175" s="50"/>
      <c r="BT175" s="55"/>
      <c r="BU175" s="55"/>
      <c r="BV175" s="51"/>
      <c r="BW175" s="51"/>
      <c r="BX175" s="51"/>
      <c r="BY175" s="48"/>
      <c r="BZ175" s="48"/>
      <c r="CA175" s="50"/>
      <c r="CB175" s="52"/>
      <c r="CC175" s="54"/>
      <c r="CD175" s="50"/>
      <c r="CE175" s="55"/>
      <c r="CF175" s="55"/>
      <c r="CG175" s="51"/>
      <c r="CH175" s="51"/>
      <c r="CI175" s="51"/>
      <c r="CJ175" s="48"/>
      <c r="CK175" s="48"/>
      <c r="CL175" s="50"/>
      <c r="CM175" s="52"/>
      <c r="CN175" s="54"/>
      <c r="CO175" s="50"/>
      <c r="CP175" s="55"/>
      <c r="CQ175" s="55"/>
      <c r="CR175" s="51"/>
      <c r="CS175" s="51"/>
      <c r="CT175" s="51"/>
      <c r="CU175" s="48"/>
      <c r="CV175" s="48"/>
      <c r="CW175" s="50"/>
      <c r="CX175" s="50"/>
      <c r="CY175" s="54"/>
      <c r="CZ175" s="50"/>
      <c r="DA175" s="55"/>
      <c r="DB175" s="55"/>
      <c r="DC175" s="50"/>
      <c r="DD175" s="51"/>
      <c r="DE175" s="51"/>
      <c r="DF175" s="48"/>
      <c r="DG175" s="48"/>
      <c r="DH175" s="50"/>
      <c r="DI175" s="52"/>
    </row>
    <row r="176" spans="1:113" x14ac:dyDescent="0.25">
      <c r="J176" s="517">
        <v>12</v>
      </c>
      <c r="K176" s="53" t="e">
        <v>#N/A</v>
      </c>
      <c r="L176" s="47" t="e">
        <v>#N/A</v>
      </c>
      <c r="M176" s="54" t="e">
        <v>#N/A</v>
      </c>
      <c r="N176" s="55" t="e">
        <v>#N/A</v>
      </c>
      <c r="O176" s="55" t="e">
        <f ca="1"/>
        <v>#N/A</v>
      </c>
      <c r="P176" s="50" t="e">
        <f t="shared" ca="1" si="227"/>
        <v>#N/A</v>
      </c>
      <c r="Q176" s="534" t="e">
        <f ca="1">IF(O176=1,δ_0*(SLOPE(INDIRECT(VLOOKUP(S176,$S$164:$X$176,5,FALSE)),INDIRECT(VLOOKUP(S176,$S$164:$X$176,6,FALSE)))-SLOPE(INDIRECT(VLOOKUP(S176-1,$S$164:$X$176,5,FALSE)),INDIRECT(VLOOKUP(S176-1,$S$164:$X$176,6,FALSE)))),0)*86400*VLOOKUP($L$161,Aux!$AL$72:$AN$83,3,FALSE)</f>
        <v>#N/A</v>
      </c>
      <c r="R176" s="534">
        <f t="shared" ca="1" si="229"/>
        <v>0</v>
      </c>
      <c r="S176" s="535">
        <f t="array" aca="1" ref="S176" ca="1">SUM(IF(ISNUMBER(T$164:T176),1,0))+IF($J176&gt;Capas_VN_C1,1,0)</f>
        <v>5</v>
      </c>
      <c r="T176" s="50" t="e">
        <f t="shared" ca="1" si="228"/>
        <v>#N/A</v>
      </c>
      <c r="U176" s="50" t="e">
        <f t="shared" ca="1" si="223"/>
        <v>#N/A</v>
      </c>
      <c r="V176" s="50" t="e">
        <f t="shared" ca="1" si="224"/>
        <v>#N/A</v>
      </c>
      <c r="W176" s="50" t="str">
        <f t="shared" ca="1" si="225"/>
        <v>$U$168:$U$169</v>
      </c>
      <c r="X176" s="214" t="str">
        <f t="shared" ca="1" si="226"/>
        <v>$V$168:$V$169</v>
      </c>
      <c r="AB176" s="51"/>
      <c r="AC176" s="51"/>
      <c r="AD176" s="51"/>
      <c r="AE176" s="48"/>
      <c r="AF176" s="48"/>
      <c r="AG176" s="50"/>
      <c r="AH176" s="50"/>
      <c r="AI176" s="51"/>
      <c r="AJ176" s="50"/>
      <c r="AK176" s="55"/>
      <c r="AL176" s="55"/>
      <c r="AM176" s="51"/>
      <c r="AN176" s="51"/>
      <c r="AO176" s="51"/>
      <c r="AP176" s="48"/>
      <c r="AQ176" s="48"/>
      <c r="AR176" s="50"/>
      <c r="AS176" s="50"/>
      <c r="AT176" s="51"/>
      <c r="AU176" s="50"/>
      <c r="AV176" s="55"/>
      <c r="AW176" s="55"/>
      <c r="AX176" s="50"/>
      <c r="AY176" s="51"/>
      <c r="AZ176" s="51"/>
      <c r="BA176" s="48"/>
      <c r="BB176" s="48"/>
      <c r="BC176" s="50"/>
      <c r="BD176" s="50"/>
      <c r="BP176" s="53"/>
      <c r="BQ176" s="52"/>
      <c r="BR176" s="54"/>
      <c r="BS176" s="50"/>
      <c r="BT176" s="55"/>
      <c r="BU176" s="55"/>
      <c r="BV176" s="51"/>
      <c r="BW176" s="51"/>
      <c r="BX176" s="51"/>
      <c r="BY176" s="48"/>
      <c r="BZ176" s="48"/>
      <c r="CA176" s="50"/>
      <c r="CB176" s="52"/>
      <c r="CC176" s="54"/>
      <c r="CD176" s="50"/>
      <c r="CE176" s="55"/>
      <c r="CF176" s="55"/>
      <c r="CG176" s="51"/>
      <c r="CH176" s="51"/>
      <c r="CI176" s="51"/>
      <c r="CJ176" s="48"/>
      <c r="CK176" s="48"/>
      <c r="CL176" s="50"/>
      <c r="CM176" s="52"/>
      <c r="CN176" s="54"/>
      <c r="CO176" s="50"/>
      <c r="CP176" s="55"/>
      <c r="CQ176" s="55"/>
      <c r="CR176" s="51"/>
      <c r="CS176" s="51"/>
      <c r="CT176" s="51"/>
      <c r="CU176" s="48"/>
      <c r="CV176" s="48"/>
      <c r="CW176" s="50"/>
      <c r="CX176" s="50"/>
      <c r="CY176" s="54"/>
      <c r="CZ176" s="50"/>
      <c r="DA176" s="55"/>
      <c r="DB176" s="55"/>
      <c r="DC176" s="50"/>
      <c r="DD176" s="51"/>
      <c r="DE176" s="51"/>
      <c r="DF176" s="48"/>
      <c r="DG176" s="48"/>
      <c r="DH176" s="50"/>
      <c r="DI176" s="52"/>
    </row>
    <row r="177" spans="10:113" ht="15.75" thickBot="1" x14ac:dyDescent="0.3">
      <c r="J177" s="517"/>
      <c r="K177" s="53"/>
      <c r="L177" s="52"/>
      <c r="M177" s="62"/>
      <c r="N177" s="65"/>
      <c r="O177" s="65"/>
      <c r="P177" s="65"/>
      <c r="Q177" s="542"/>
      <c r="R177" s="65"/>
      <c r="S177" s="62"/>
      <c r="T177" s="65"/>
      <c r="U177" s="65"/>
      <c r="V177" s="65"/>
      <c r="W177" s="65"/>
      <c r="X177" s="61"/>
      <c r="AB177" s="51"/>
      <c r="AC177" s="51"/>
      <c r="AD177" s="51"/>
      <c r="AE177" s="48"/>
      <c r="AF177" s="48"/>
      <c r="AG177" s="50"/>
      <c r="AH177" s="50"/>
      <c r="AI177" s="51"/>
      <c r="AJ177" s="50"/>
      <c r="AK177" s="55"/>
      <c r="AL177" s="55"/>
      <c r="AM177" s="51"/>
      <c r="AN177" s="51"/>
      <c r="AO177" s="51"/>
      <c r="AP177" s="48"/>
      <c r="AQ177" s="48"/>
      <c r="AR177" s="50"/>
      <c r="AS177" s="50"/>
      <c r="AT177" s="51"/>
      <c r="AU177" s="50"/>
      <c r="AV177" s="55"/>
      <c r="AW177" s="55"/>
      <c r="AX177" s="50"/>
      <c r="AY177" s="51"/>
      <c r="AZ177" s="51"/>
      <c r="BA177" s="48"/>
      <c r="BB177" s="48"/>
      <c r="BC177" s="50"/>
      <c r="BD177" s="50"/>
      <c r="BP177" s="53"/>
      <c r="BQ177" s="52"/>
      <c r="BR177" s="54"/>
      <c r="BS177" s="50"/>
      <c r="BT177" s="55"/>
      <c r="BU177" s="55"/>
      <c r="BV177" s="51"/>
      <c r="BW177" s="51"/>
      <c r="BX177" s="51"/>
      <c r="BY177" s="48"/>
      <c r="BZ177" s="48"/>
      <c r="CA177" s="50"/>
      <c r="CB177" s="52"/>
      <c r="CC177" s="54"/>
      <c r="CD177" s="50"/>
      <c r="CE177" s="55"/>
      <c r="CF177" s="55"/>
      <c r="CG177" s="51"/>
      <c r="CH177" s="51"/>
      <c r="CI177" s="51"/>
      <c r="CJ177" s="48"/>
      <c r="CK177" s="48"/>
      <c r="CL177" s="50"/>
      <c r="CM177" s="52"/>
      <c r="CN177" s="54"/>
      <c r="CO177" s="50"/>
      <c r="CP177" s="55"/>
      <c r="CQ177" s="55"/>
      <c r="CR177" s="51"/>
      <c r="CS177" s="51"/>
      <c r="CT177" s="51"/>
      <c r="CU177" s="48"/>
      <c r="CV177" s="48"/>
      <c r="CW177" s="50"/>
      <c r="CX177" s="50"/>
      <c r="CY177" s="54"/>
      <c r="CZ177" s="50"/>
      <c r="DA177" s="55"/>
      <c r="DB177" s="55"/>
      <c r="DC177" s="50"/>
      <c r="DD177" s="51"/>
      <c r="DE177" s="51"/>
      <c r="DF177" s="48"/>
      <c r="DG177" s="48"/>
      <c r="DH177" s="50"/>
      <c r="DI177" s="52"/>
    </row>
    <row r="178" spans="10:113" ht="15.75" thickBot="1" x14ac:dyDescent="0.3">
      <c r="K178" s="68" t="s">
        <v>145</v>
      </c>
      <c r="L178" s="505">
        <v>4</v>
      </c>
      <c r="M178" s="506" t="s">
        <v>275</v>
      </c>
      <c r="N178" s="507">
        <v>20</v>
      </c>
      <c r="O178" s="36" t="s">
        <v>735</v>
      </c>
      <c r="P178" s="513">
        <v>627.93203677367012</v>
      </c>
      <c r="Q178" s="539"/>
      <c r="Y178" s="50"/>
      <c r="Z178" s="50"/>
      <c r="AA178" s="55"/>
      <c r="AI178" s="50"/>
      <c r="AK178" s="50"/>
      <c r="AL178" s="55"/>
      <c r="AT178" s="50"/>
      <c r="BP178" s="62"/>
      <c r="BQ178" s="63"/>
      <c r="BR178" s="62"/>
      <c r="BS178" s="65"/>
      <c r="BT178" s="64"/>
      <c r="BU178" s="58"/>
      <c r="BV178" s="58"/>
      <c r="BW178" s="58"/>
      <c r="BX178" s="58"/>
      <c r="BY178" s="58"/>
      <c r="BZ178" s="58"/>
      <c r="CA178" s="58"/>
      <c r="CB178" s="61"/>
      <c r="CC178" s="62"/>
      <c r="CD178" s="65"/>
      <c r="CE178" s="64"/>
      <c r="CF178" s="58"/>
      <c r="CG178" s="58"/>
      <c r="CH178" s="58"/>
      <c r="CI178" s="58"/>
      <c r="CJ178" s="58"/>
      <c r="CK178" s="58"/>
      <c r="CL178" s="58"/>
      <c r="CM178" s="61"/>
      <c r="CN178" s="62"/>
      <c r="CO178" s="58"/>
      <c r="CP178" s="65"/>
      <c r="CQ178" s="64"/>
      <c r="CR178" s="58"/>
      <c r="CS178" s="58"/>
      <c r="CT178" s="58"/>
      <c r="CU178" s="58"/>
      <c r="CV178" s="58"/>
      <c r="CW178" s="58"/>
      <c r="CX178" s="58"/>
      <c r="CY178" s="62"/>
      <c r="CZ178" s="58"/>
      <c r="DA178" s="58"/>
      <c r="DB178" s="58"/>
      <c r="DC178" s="58"/>
      <c r="DD178" s="58"/>
      <c r="DE178" s="58"/>
      <c r="DF178" s="58"/>
      <c r="DG178" s="58"/>
      <c r="DH178" s="58"/>
      <c r="DI178" s="61"/>
    </row>
    <row r="179" spans="10:113" x14ac:dyDescent="0.25">
      <c r="K179" s="75" t="s">
        <v>144</v>
      </c>
      <c r="L179" s="22">
        <v>0.78</v>
      </c>
      <c r="M179" s="80" t="s">
        <v>771</v>
      </c>
      <c r="N179" s="508">
        <v>0.54</v>
      </c>
      <c r="O179" s="68" t="s">
        <v>780</v>
      </c>
      <c r="P179" s="507" t="b">
        <v>1</v>
      </c>
      <c r="Q179" s="539"/>
      <c r="U179" s="22"/>
      <c r="V179" s="22"/>
      <c r="Y179" s="22"/>
      <c r="Z179" s="28"/>
      <c r="AA179" s="48"/>
      <c r="AI179" s="22"/>
      <c r="AJ179" s="28"/>
      <c r="AK179" s="48"/>
      <c r="AT179" s="22"/>
      <c r="AU179" s="28"/>
      <c r="AV179" s="48"/>
      <c r="BP179" s="68" t="s">
        <v>144</v>
      </c>
      <c r="BQ179" s="73" t="e">
        <f>IF([0]!Casilla2,φe_H1_C1,VLOOKUP(Seccion1!provincia_C1,datos_humedad_julio[],$L$57+1,FALSE))</f>
        <v>#NAME?</v>
      </c>
      <c r="BR179" s="111"/>
      <c r="BS179" s="77" t="s">
        <v>160</v>
      </c>
      <c r="BT179" s="70"/>
      <c r="BU179" s="38"/>
      <c r="BV179" s="38"/>
      <c r="BW179" s="38"/>
      <c r="BX179" s="38"/>
      <c r="BY179" s="71"/>
      <c r="BZ179" s="71"/>
      <c r="CA179" s="38"/>
      <c r="CB179" s="72"/>
      <c r="CC179" s="111"/>
      <c r="CD179" s="77" t="s">
        <v>160</v>
      </c>
      <c r="CE179" s="67"/>
      <c r="CF179" s="38"/>
      <c r="CG179" s="38"/>
      <c r="CH179" s="38"/>
      <c r="CI179" s="38"/>
      <c r="CJ179" s="38"/>
      <c r="CK179" s="38"/>
      <c r="CL179" s="38"/>
      <c r="CM179" s="72"/>
      <c r="CN179" s="111"/>
      <c r="CO179" s="77" t="s">
        <v>160</v>
      </c>
      <c r="CP179" s="67"/>
      <c r="CQ179" s="38"/>
      <c r="CR179" s="38"/>
      <c r="CS179" s="38"/>
      <c r="CT179" s="38"/>
      <c r="CU179" s="38"/>
      <c r="CV179" s="38"/>
      <c r="CW179" s="38"/>
      <c r="CX179" s="38"/>
      <c r="CY179" s="111"/>
      <c r="CZ179" s="77" t="s">
        <v>160</v>
      </c>
      <c r="DA179" s="67"/>
      <c r="DB179" s="38"/>
      <c r="DC179" s="38"/>
      <c r="DD179" s="38"/>
      <c r="DE179" s="38"/>
      <c r="DF179" s="38"/>
      <c r="DG179" s="38"/>
      <c r="DH179" s="38"/>
      <c r="DI179" s="72"/>
    </row>
    <row r="180" spans="10:113" x14ac:dyDescent="0.25">
      <c r="K180" s="75" t="s">
        <v>108</v>
      </c>
      <c r="L180" s="79">
        <v>812.84818061486487</v>
      </c>
      <c r="M180" s="80" t="s">
        <v>109</v>
      </c>
      <c r="N180" s="78">
        <v>2336.9511438023419</v>
      </c>
      <c r="O180" s="75" t="s">
        <v>782</v>
      </c>
      <c r="P180" s="508">
        <v>1</v>
      </c>
      <c r="Q180" s="539"/>
      <c r="U180" s="48"/>
      <c r="V180" s="48"/>
      <c r="Y180" s="82"/>
      <c r="Z180" s="80"/>
      <c r="AA180" s="48"/>
      <c r="AI180" s="82"/>
      <c r="AJ180" s="80"/>
      <c r="AK180" s="48"/>
      <c r="AT180" s="82"/>
      <c r="AU180" s="80"/>
      <c r="AV180" s="48"/>
      <c r="BP180" s="75" t="s">
        <v>145</v>
      </c>
      <c r="BQ180" s="76" t="e">
        <f>IF([0]!Casilla2,φe_H1_C1,VLOOKUP(Seccion1!provincia_C1,datos_temperatura_julio[],$L$57+1,FALSE))</f>
        <v>#NAME?</v>
      </c>
      <c r="BR180" s="112"/>
      <c r="BS180" s="80" t="s">
        <v>162</v>
      </c>
      <c r="BT180" s="17"/>
      <c r="BY180" s="48"/>
      <c r="BZ180" s="48"/>
      <c r="CB180" s="49"/>
      <c r="CC180" s="112"/>
      <c r="CD180" s="80" t="s">
        <v>162</v>
      </c>
      <c r="CE180" s="48"/>
      <c r="CM180" s="49"/>
      <c r="CN180" s="112"/>
      <c r="CO180" s="80" t="s">
        <v>162</v>
      </c>
      <c r="CP180" s="48"/>
      <c r="CY180" s="112"/>
      <c r="CZ180" s="80" t="s">
        <v>162</v>
      </c>
      <c r="DA180" s="48"/>
      <c r="DI180" s="49"/>
    </row>
    <row r="181" spans="10:113" ht="18.75" thickBot="1" x14ac:dyDescent="0.4">
      <c r="K181" s="486" t="s">
        <v>156</v>
      </c>
      <c r="L181" s="509">
        <v>634.02158087959458</v>
      </c>
      <c r="M181" s="115" t="s">
        <v>781</v>
      </c>
      <c r="N181" s="487">
        <v>1261.9536176532647</v>
      </c>
      <c r="O181" s="75" t="s">
        <v>161</v>
      </c>
      <c r="P181" s="508">
        <v>2.0826518768239112E-11</v>
      </c>
      <c r="Q181" s="539"/>
      <c r="Y181" s="79"/>
      <c r="Z181" s="80"/>
      <c r="AA181" s="79"/>
      <c r="AI181" s="79"/>
      <c r="AJ181" s="80"/>
      <c r="AK181" s="79"/>
      <c r="AT181" s="79"/>
      <c r="AU181" s="80"/>
      <c r="AV181" s="79"/>
      <c r="BP181" s="75" t="s">
        <v>108</v>
      </c>
      <c r="BQ181" s="78">
        <f ca="1">IF(ISNUMBER(ϴe_H3_C1),IF(ϴe_H3_C1&gt;=0,610.5*EXP((17.269*ϴe_H3_C1)/(237.3+ϴe_H3_C1)),610.5*EXP((21.875*ϴe_H3_C1)/(265.5+ϴe_H3_C1))),NA())</f>
        <v>871.86452524041533</v>
      </c>
      <c r="BR181" s="113"/>
      <c r="BS181" s="80" t="s">
        <v>125</v>
      </c>
      <c r="BT181" s="79"/>
      <c r="CB181" s="49"/>
      <c r="CC181" s="113"/>
      <c r="CD181" s="80" t="s">
        <v>125</v>
      </c>
      <c r="CE181" s="79"/>
      <c r="CM181" s="49"/>
      <c r="CN181" s="113"/>
      <c r="CO181" s="80" t="s">
        <v>125</v>
      </c>
      <c r="CP181" s="79"/>
      <c r="CY181" s="113"/>
      <c r="CZ181" s="80" t="s">
        <v>125</v>
      </c>
      <c r="DA181" s="79"/>
      <c r="DI181" s="49"/>
    </row>
    <row r="182" spans="10:113" ht="18" x14ac:dyDescent="0.35">
      <c r="K182" s="68" t="s">
        <v>779</v>
      </c>
      <c r="L182" s="70" t="b">
        <v>0</v>
      </c>
      <c r="M182" s="38"/>
      <c r="N182" s="72"/>
      <c r="O182" s="75" t="s">
        <v>628</v>
      </c>
      <c r="P182" s="49"/>
      <c r="Q182" s="539"/>
      <c r="Y182" s="79"/>
      <c r="Z182" s="80"/>
      <c r="AA182" s="82"/>
      <c r="AI182" s="79"/>
      <c r="AJ182" s="80"/>
      <c r="AK182" s="82"/>
      <c r="AT182" s="79"/>
      <c r="AU182" s="80"/>
      <c r="AV182" s="82"/>
      <c r="BP182" s="81" t="s">
        <v>109</v>
      </c>
      <c r="BQ182" s="78" t="e">
        <f>IF(ISNUMBER([0]!ϴi_C1),IF([0]!ϴi_C1&gt;=0,610.5*EXP((17.269*[0]!ϴi_C1)/(237.3+[0]!ϴi_C1)),610.5*EXP((21.875*[0]!ϴi_C1)/(265.5+[0]!ϴi_C1))),NA())</f>
        <v>#N/A</v>
      </c>
      <c r="BR182" s="113"/>
      <c r="BS182" s="80" t="s">
        <v>126</v>
      </c>
      <c r="BT182" s="82"/>
      <c r="CB182" s="49"/>
      <c r="CC182" s="113"/>
      <c r="CD182" s="80" t="s">
        <v>126</v>
      </c>
      <c r="CE182" s="82"/>
      <c r="CM182" s="49"/>
      <c r="CN182" s="113"/>
      <c r="CO182" s="80" t="s">
        <v>126</v>
      </c>
      <c r="CP182" s="82"/>
      <c r="CY182" s="113"/>
      <c r="CZ182" s="80" t="s">
        <v>126</v>
      </c>
      <c r="DA182" s="82"/>
      <c r="DI182" s="49"/>
    </row>
    <row r="183" spans="10:113" ht="18" x14ac:dyDescent="0.35">
      <c r="K183" s="75" t="s">
        <v>125</v>
      </c>
      <c r="L183" s="79">
        <v>1577.4420220665809</v>
      </c>
      <c r="M183" s="80" t="s">
        <v>126</v>
      </c>
      <c r="N183" s="76">
        <v>13.803210624452545</v>
      </c>
      <c r="O183" s="43"/>
      <c r="P183" s="49"/>
      <c r="Q183" s="539"/>
      <c r="Y183" s="79"/>
      <c r="Z183" s="80"/>
      <c r="AA183" s="83"/>
      <c r="AI183" s="79"/>
      <c r="AJ183" s="80"/>
      <c r="AK183" s="83"/>
      <c r="AT183" s="79"/>
      <c r="AU183" s="80"/>
      <c r="AV183" s="83"/>
      <c r="BP183" s="75" t="s">
        <v>156</v>
      </c>
      <c r="BQ183" s="78">
        <f ca="1">P_sat_e_VN_C1*φe_H3_C1</f>
        <v>767.24078221156549</v>
      </c>
      <c r="BR183" s="113"/>
      <c r="BS183" s="80" t="s">
        <v>127</v>
      </c>
      <c r="BT183" s="83"/>
      <c r="CB183" s="49"/>
      <c r="CC183" s="113"/>
      <c r="CD183" s="80" t="s">
        <v>127</v>
      </c>
      <c r="CE183" s="83"/>
      <c r="CM183" s="49"/>
      <c r="CN183" s="113"/>
      <c r="CO183" s="80" t="s">
        <v>127</v>
      </c>
      <c r="CP183" s="83"/>
      <c r="CY183" s="113"/>
      <c r="CZ183" s="80" t="s">
        <v>127</v>
      </c>
      <c r="DA183" s="83"/>
      <c r="DI183" s="49"/>
    </row>
    <row r="184" spans="10:113" ht="18.75" thickBot="1" x14ac:dyDescent="0.4">
      <c r="K184" s="486" t="s">
        <v>127</v>
      </c>
      <c r="L184" s="512">
        <v>0.61270066402828405</v>
      </c>
      <c r="M184" s="115" t="s">
        <v>122</v>
      </c>
      <c r="N184" s="510">
        <v>0.33565768883604219</v>
      </c>
      <c r="O184" s="57"/>
      <c r="P184" s="61"/>
      <c r="Q184" s="539"/>
      <c r="Y184" s="22"/>
      <c r="Z184" s="80"/>
      <c r="AA184" s="22"/>
      <c r="AI184" s="22"/>
      <c r="AJ184" s="80"/>
      <c r="AK184" s="22"/>
      <c r="AT184" s="22"/>
      <c r="AU184" s="80"/>
      <c r="AV184" s="22"/>
      <c r="BP184" s="75"/>
      <c r="BR184" s="114"/>
      <c r="BS184" s="80" t="s">
        <v>122</v>
      </c>
      <c r="BT184" s="22"/>
      <c r="CB184" s="49"/>
      <c r="CC184" s="114"/>
      <c r="CD184" s="80" t="s">
        <v>122</v>
      </c>
      <c r="CE184" s="22"/>
      <c r="CM184" s="49"/>
      <c r="CN184" s="114"/>
      <c r="CO184" s="80" t="s">
        <v>122</v>
      </c>
      <c r="CP184" s="22"/>
      <c r="CY184" s="114"/>
      <c r="CZ184" s="80" t="s">
        <v>122</v>
      </c>
      <c r="DA184" s="22"/>
      <c r="DI184" s="49"/>
    </row>
    <row r="185" spans="10:113" x14ac:dyDescent="0.25">
      <c r="K185" s="80"/>
      <c r="N185" s="28"/>
      <c r="O185" s="17"/>
      <c r="Q185" s="539"/>
      <c r="Z185" s="28"/>
      <c r="AA185" s="17"/>
      <c r="AJ185" s="28"/>
      <c r="AK185" s="17"/>
      <c r="AU185" s="28"/>
      <c r="AV185" s="17"/>
      <c r="BP185" s="43"/>
      <c r="BQ185" s="49"/>
      <c r="BR185" s="43"/>
      <c r="BS185" s="28" t="s">
        <v>159</v>
      </c>
      <c r="BT185" s="17"/>
      <c r="CB185" s="49"/>
      <c r="CC185" s="43"/>
      <c r="CD185" s="28" t="s">
        <v>159</v>
      </c>
      <c r="CE185" s="17"/>
      <c r="CM185" s="49"/>
      <c r="CN185" s="43"/>
      <c r="CO185" s="28" t="s">
        <v>159</v>
      </c>
      <c r="CP185" s="17"/>
      <c r="CY185" s="43"/>
      <c r="CZ185" s="28" t="s">
        <v>159</v>
      </c>
      <c r="DA185" s="17"/>
      <c r="DI185" s="49"/>
    </row>
    <row r="186" spans="10:113" ht="15.75" thickBot="1" x14ac:dyDescent="0.3">
      <c r="K186" s="80"/>
      <c r="N186" s="80"/>
      <c r="Q186" s="539"/>
      <c r="Z186" s="80"/>
      <c r="AA186" s="17"/>
      <c r="AJ186" s="80"/>
      <c r="AK186" s="17"/>
      <c r="AU186" s="80"/>
      <c r="AV186" s="17"/>
      <c r="BP186" s="57"/>
      <c r="BQ186" s="61"/>
      <c r="BR186" s="57"/>
      <c r="BS186" s="115" t="s">
        <v>161</v>
      </c>
      <c r="BT186" s="58"/>
      <c r="BU186" s="58"/>
      <c r="BV186" s="58"/>
      <c r="BW186" s="58"/>
      <c r="BX186" s="58"/>
      <c r="BY186" s="58"/>
      <c r="BZ186" s="58"/>
      <c r="CA186" s="58"/>
      <c r="CB186" s="61"/>
      <c r="CC186" s="57"/>
      <c r="CD186" s="115" t="s">
        <v>161</v>
      </c>
      <c r="CE186" s="84"/>
      <c r="CF186" s="58"/>
      <c r="CG186" s="58"/>
      <c r="CH186" s="58"/>
      <c r="CI186" s="58"/>
      <c r="CJ186" s="58"/>
      <c r="CK186" s="58"/>
      <c r="CL186" s="58"/>
      <c r="CM186" s="61"/>
      <c r="CN186" s="57"/>
      <c r="CO186" s="115" t="s">
        <v>161</v>
      </c>
      <c r="CP186" s="84"/>
      <c r="CQ186" s="58"/>
      <c r="CR186" s="58"/>
      <c r="CS186" s="58"/>
      <c r="CT186" s="58"/>
      <c r="CU186" s="58"/>
      <c r="CV186" s="58"/>
      <c r="CW186" s="58"/>
      <c r="CX186" s="58"/>
      <c r="CY186" s="57"/>
      <c r="CZ186" s="115" t="s">
        <v>161</v>
      </c>
      <c r="DA186" s="84"/>
      <c r="DB186" s="58"/>
      <c r="DC186" s="58"/>
      <c r="DD186" s="58"/>
      <c r="DE186" s="58"/>
      <c r="DF186" s="58"/>
      <c r="DG186" s="58"/>
      <c r="DH186" s="58"/>
      <c r="DI186" s="61"/>
    </row>
    <row r="187" spans="10:113" ht="15.75" thickBot="1" x14ac:dyDescent="0.3">
      <c r="K187" s="516" t="s">
        <v>179</v>
      </c>
      <c r="L187" s="30">
        <v>4</v>
      </c>
      <c r="M187" s="110" t="str">
        <f>VLOOKUP(L187,Aux!$AL$72:$AM$83,2,FALSE)</f>
        <v>Abril</v>
      </c>
      <c r="N187" s="32"/>
      <c r="O187" s="32"/>
      <c r="P187" s="32"/>
      <c r="Q187" s="540"/>
      <c r="R187" s="32"/>
      <c r="S187" s="32"/>
      <c r="T187" s="32"/>
      <c r="U187" s="32"/>
      <c r="V187" s="32"/>
      <c r="W187" s="32"/>
      <c r="X187" s="33"/>
    </row>
    <row r="188" spans="10:113" ht="15.75" thickBot="1" x14ac:dyDescent="0.3">
      <c r="K188" s="42" t="s">
        <v>120</v>
      </c>
      <c r="L188" s="41" t="s">
        <v>121</v>
      </c>
      <c r="M188" s="515" t="s">
        <v>265</v>
      </c>
      <c r="N188" s="35" t="s">
        <v>146</v>
      </c>
      <c r="O188" s="35" t="s">
        <v>806</v>
      </c>
      <c r="P188" s="35" t="s">
        <v>167</v>
      </c>
      <c r="Q188" s="35" t="s">
        <v>807</v>
      </c>
      <c r="R188" s="35" t="s">
        <v>783</v>
      </c>
      <c r="S188" s="532" t="s">
        <v>170</v>
      </c>
      <c r="T188" s="40" t="s">
        <v>178</v>
      </c>
      <c r="U188" s="40" t="s">
        <v>169</v>
      </c>
      <c r="V188" s="40" t="s">
        <v>168</v>
      </c>
      <c r="W188" s="40" t="s">
        <v>175</v>
      </c>
      <c r="X188" s="41" t="s">
        <v>176</v>
      </c>
      <c r="AB188" s="80"/>
      <c r="AG188" s="80"/>
      <c r="AH188" s="17"/>
      <c r="AI188" s="17"/>
      <c r="AJ188" s="80"/>
      <c r="AK188" s="22"/>
      <c r="AM188" s="80"/>
      <c r="AN188" s="80"/>
      <c r="AO188" s="80"/>
      <c r="AP188" s="80"/>
      <c r="AQ188" s="80"/>
      <c r="AR188" s="80"/>
      <c r="AS188" s="17"/>
      <c r="AT188" s="17"/>
      <c r="AU188" s="80"/>
      <c r="AV188" s="22"/>
      <c r="AX188" s="80"/>
      <c r="AY188" s="80"/>
      <c r="AZ188" s="80"/>
      <c r="BA188" s="80"/>
      <c r="BB188" s="80"/>
      <c r="BC188" s="80"/>
      <c r="BD188" s="17"/>
      <c r="BP188" s="29" t="s">
        <v>179</v>
      </c>
      <c r="BQ188" s="30">
        <v>5</v>
      </c>
      <c r="BR188" s="110"/>
      <c r="BS188" s="34" t="s">
        <v>163</v>
      </c>
      <c r="BT188" s="31">
        <f ca="1">P_sat_i_VN_C1*VLOOKUP(1,φi[],2,FALSE)</f>
        <v>1519.0182434715223</v>
      </c>
      <c r="BU188" s="32"/>
      <c r="BV188" s="32"/>
      <c r="BW188" s="32"/>
      <c r="BX188" s="32"/>
      <c r="BY188" s="32"/>
      <c r="BZ188" s="32"/>
      <c r="CA188" s="34" t="s">
        <v>267</v>
      </c>
      <c r="CB188" s="30">
        <f>VLOOKUP(1,φi[],2,FALSE)</f>
        <v>0.65</v>
      </c>
      <c r="CC188" s="110"/>
      <c r="CD188" s="34" t="s">
        <v>164</v>
      </c>
      <c r="CE188" s="31">
        <f ca="1">P_sat_i_VN_C1*VLOOKUP(2,φi[],2,FALSE)</f>
        <v>1752.7133578517564</v>
      </c>
      <c r="CF188" s="34"/>
      <c r="CG188" s="34"/>
      <c r="CH188" s="32"/>
      <c r="CI188" s="32"/>
      <c r="CJ188" s="32"/>
      <c r="CK188" s="32"/>
      <c r="CL188" s="34" t="s">
        <v>268</v>
      </c>
      <c r="CM188" s="30">
        <f>VLOOKUP(2,φi[],2,FALSE)</f>
        <v>0.75</v>
      </c>
      <c r="CN188" s="110"/>
      <c r="CO188" s="34" t="s">
        <v>165</v>
      </c>
      <c r="CP188" s="31">
        <f ca="1">P_sat_i_VN_C1*VLOOKUP(3,φi[],2,FALSE)</f>
        <v>1869.5609150418736</v>
      </c>
      <c r="CQ188" s="32"/>
      <c r="CR188" s="34"/>
      <c r="CS188" s="34"/>
      <c r="CT188" s="34"/>
      <c r="CU188" s="34"/>
      <c r="CV188" s="34"/>
      <c r="CW188" s="34" t="s">
        <v>269</v>
      </c>
      <c r="CX188" s="116">
        <f>VLOOKUP(3,φi[],2,FALSE)</f>
        <v>0.8</v>
      </c>
      <c r="CY188" s="110"/>
      <c r="CZ188" s="34" t="s">
        <v>166</v>
      </c>
      <c r="DA188" s="31">
        <f ca="1">P_sat_i_VN_C1*Seccion1!φi_C1</f>
        <v>747.82436601674965</v>
      </c>
      <c r="DB188" s="32"/>
      <c r="DC188" s="34"/>
      <c r="DD188" s="34"/>
      <c r="DE188" s="34"/>
      <c r="DF188" s="34"/>
      <c r="DG188" s="34"/>
      <c r="DH188" s="34" t="s">
        <v>154</v>
      </c>
      <c r="DI188" s="30"/>
    </row>
    <row r="189" spans="10:113" x14ac:dyDescent="0.25">
      <c r="J189" s="517"/>
      <c r="K189" s="46">
        <v>9</v>
      </c>
      <c r="L189" s="47">
        <v>1147.4546679041084</v>
      </c>
      <c r="M189" s="54"/>
      <c r="N189" s="44" t="s">
        <v>107</v>
      </c>
      <c r="O189" s="44" t="e">
        <v>#N/A</v>
      </c>
      <c r="P189" s="44" t="e">
        <v>#N/A</v>
      </c>
      <c r="Q189" s="541"/>
      <c r="R189" s="44"/>
      <c r="S189" s="533"/>
      <c r="T189" s="44"/>
      <c r="U189" s="44"/>
      <c r="V189" s="44"/>
      <c r="W189" s="44"/>
      <c r="X189" s="531"/>
      <c r="AB189" s="35"/>
      <c r="AC189" s="35"/>
      <c r="AD189" s="35"/>
      <c r="AE189" s="35"/>
      <c r="AF189" s="35"/>
      <c r="AG189" s="35"/>
      <c r="AH189" s="35"/>
      <c r="AI189" s="511"/>
      <c r="AJ189" s="35"/>
      <c r="AK189" s="35"/>
      <c r="AL189" s="35"/>
      <c r="AM189" s="35"/>
      <c r="AN189" s="35"/>
      <c r="AO189" s="35"/>
      <c r="AP189" s="35"/>
      <c r="AQ189" s="35"/>
      <c r="AR189" s="35"/>
      <c r="AS189" s="35"/>
      <c r="AT189" s="511"/>
      <c r="AU189" s="35"/>
      <c r="AV189" s="35"/>
      <c r="AW189" s="35"/>
      <c r="AX189" s="35"/>
      <c r="AY189" s="35"/>
      <c r="AZ189" s="35"/>
      <c r="BA189" s="35"/>
      <c r="BB189" s="35"/>
      <c r="BC189" s="35"/>
      <c r="BD189" s="35"/>
      <c r="BP189" s="42" t="s">
        <v>120</v>
      </c>
      <c r="BQ189" s="41" t="s">
        <v>121</v>
      </c>
      <c r="BR189" s="42" t="s">
        <v>265</v>
      </c>
      <c r="BS189" s="40" t="s">
        <v>146</v>
      </c>
      <c r="BT189" s="40" t="s">
        <v>147</v>
      </c>
      <c r="BU189" s="40" t="s">
        <v>170</v>
      </c>
      <c r="BV189" s="40" t="s">
        <v>178</v>
      </c>
      <c r="BW189" s="40" t="s">
        <v>169</v>
      </c>
      <c r="BX189" s="40" t="s">
        <v>168</v>
      </c>
      <c r="BY189" s="40" t="s">
        <v>175</v>
      </c>
      <c r="BZ189" s="40" t="s">
        <v>176</v>
      </c>
      <c r="CA189" s="40" t="s">
        <v>167</v>
      </c>
      <c r="CB189" s="41" t="s">
        <v>266</v>
      </c>
      <c r="CC189" s="42" t="s">
        <v>265</v>
      </c>
      <c r="CD189" s="40" t="s">
        <v>148</v>
      </c>
      <c r="CE189" s="40" t="s">
        <v>149</v>
      </c>
      <c r="CF189" s="40" t="s">
        <v>170</v>
      </c>
      <c r="CG189" s="40" t="s">
        <v>178</v>
      </c>
      <c r="CH189" s="40" t="s">
        <v>169</v>
      </c>
      <c r="CI189" s="40" t="s">
        <v>168</v>
      </c>
      <c r="CJ189" s="40" t="s">
        <v>175</v>
      </c>
      <c r="CK189" s="40" t="s">
        <v>176</v>
      </c>
      <c r="CL189" s="40" t="s">
        <v>171</v>
      </c>
      <c r="CM189" s="41" t="s">
        <v>266</v>
      </c>
      <c r="CN189" s="42" t="s">
        <v>265</v>
      </c>
      <c r="CO189" s="40" t="s">
        <v>150</v>
      </c>
      <c r="CP189" s="40" t="s">
        <v>151</v>
      </c>
      <c r="CQ189" s="40" t="s">
        <v>170</v>
      </c>
      <c r="CR189" s="40" t="s">
        <v>178</v>
      </c>
      <c r="CS189" s="40" t="s">
        <v>169</v>
      </c>
      <c r="CT189" s="40" t="s">
        <v>168</v>
      </c>
      <c r="CU189" s="40" t="s">
        <v>175</v>
      </c>
      <c r="CV189" s="40" t="s">
        <v>176</v>
      </c>
      <c r="CW189" s="40" t="s">
        <v>172</v>
      </c>
      <c r="CX189" s="41" t="s">
        <v>266</v>
      </c>
      <c r="CY189" s="42" t="s">
        <v>265</v>
      </c>
      <c r="CZ189" s="40" t="s">
        <v>152</v>
      </c>
      <c r="DA189" s="40" t="s">
        <v>153</v>
      </c>
      <c r="DB189" s="40" t="s">
        <v>170</v>
      </c>
      <c r="DC189" s="40" t="s">
        <v>178</v>
      </c>
      <c r="DD189" s="40" t="s">
        <v>169</v>
      </c>
      <c r="DE189" s="40" t="s">
        <v>168</v>
      </c>
      <c r="DF189" s="40" t="s">
        <v>175</v>
      </c>
      <c r="DG189" s="40" t="s">
        <v>176</v>
      </c>
      <c r="DH189" s="40" t="s">
        <v>177</v>
      </c>
      <c r="DI189" s="41" t="s">
        <v>266</v>
      </c>
    </row>
    <row r="190" spans="10:113" x14ac:dyDescent="0.25">
      <c r="J190" s="517"/>
      <c r="K190" s="53">
        <v>9.0636297903109178</v>
      </c>
      <c r="L190" s="47">
        <v>1152.3961065521439</v>
      </c>
      <c r="M190" s="54">
        <v>4.2323424656675828</v>
      </c>
      <c r="N190" s="55">
        <v>826.16736089095798</v>
      </c>
      <c r="O190" s="55">
        <v>0</v>
      </c>
      <c r="P190" s="50">
        <f ca="1">IF(ISNA(T190),
_xlfn.FORECAST.LINEAR($J60,INDIRECT(W190),INDIRECT(X190)),T190)</f>
        <v>826.16736089095798</v>
      </c>
      <c r="Q190" s="514"/>
      <c r="R190" s="50"/>
      <c r="S190" s="535">
        <f t="array" ref="S190">SUM(IF(ISNUMBER(T$190:T190),1,0))+IF($J190&gt;Capas_VN_C1,1,0)</f>
        <v>1</v>
      </c>
      <c r="T190" s="50">
        <f>IF(O190=1,$L190,L207)</f>
        <v>826.16736089095798</v>
      </c>
      <c r="U190" s="50">
        <f t="shared" ref="U190:U202" si="230">VLOOKUP($J191,$S$190:$T$202,2,FALSE)</f>
        <v>826.16736089095798</v>
      </c>
      <c r="V190" s="50">
        <f t="shared" ref="V190:V202" si="231">INDEX($J$60:$J$72,MATCH(U190,T$190:T$202,0))</f>
        <v>0</v>
      </c>
      <c r="W190" s="50" t="str">
        <f t="shared" ref="W190:W202" si="232">CONCATENATE(ADDRESS(ROW(U$190)-1+S190,COLUMN(U$190)),":",ADDRESS(ROW(U$190)+S190,COLUMN(U$190)))</f>
        <v>$U$190:$U$191</v>
      </c>
      <c r="X190" s="214" t="str">
        <f t="shared" ref="X190:X202" si="233">CONCATENATE(ADDRESS(ROW(V$190)-1+S190,COLUMN(V$190)),":",ADDRESS(ROW(V$190)+S190,COLUMN(V$190)))</f>
        <v>$V$190:$V$191</v>
      </c>
      <c r="AC190" s="48"/>
      <c r="AD190" s="48"/>
      <c r="AE190" s="48"/>
      <c r="AF190" s="48"/>
      <c r="AI190" s="51"/>
      <c r="AJ190" s="44"/>
      <c r="AK190" s="44"/>
      <c r="AN190" s="48"/>
      <c r="AO190" s="48"/>
      <c r="AP190" s="48"/>
      <c r="AQ190" s="48"/>
      <c r="AT190" s="51"/>
      <c r="AU190" s="44"/>
      <c r="AV190" s="44"/>
      <c r="AY190" s="48"/>
      <c r="AZ190" s="48"/>
      <c r="BA190" s="48"/>
      <c r="BB190" s="48"/>
      <c r="BP190" s="46"/>
      <c r="BQ190" s="52"/>
      <c r="BR190" s="54"/>
      <c r="BS190" s="44"/>
      <c r="BT190" s="44"/>
      <c r="BW190" s="48"/>
      <c r="BX190" s="48"/>
      <c r="BY190" s="48"/>
      <c r="BZ190" s="48"/>
      <c r="CB190" s="49"/>
      <c r="CC190" s="54"/>
      <c r="CD190" s="44"/>
      <c r="CE190" s="44"/>
      <c r="CH190" s="48"/>
      <c r="CI190" s="48"/>
      <c r="CJ190" s="48"/>
      <c r="CK190" s="48"/>
      <c r="CM190" s="49"/>
      <c r="CN190" s="54"/>
      <c r="CO190" s="44"/>
      <c r="CP190" s="44"/>
      <c r="CS190" s="48"/>
      <c r="CT190" s="48"/>
      <c r="CU190" s="48"/>
      <c r="CV190" s="48"/>
      <c r="CY190" s="54"/>
      <c r="CZ190" s="44"/>
      <c r="DA190" s="44"/>
      <c r="DD190" s="48"/>
      <c r="DE190" s="48"/>
      <c r="DF190" s="48"/>
      <c r="DG190" s="48"/>
      <c r="DI190" s="49"/>
    </row>
    <row r="191" spans="10:113" x14ac:dyDescent="0.25">
      <c r="J191" s="15">
        <v>1</v>
      </c>
      <c r="K191" s="53">
        <v>9.1431670281995654</v>
      </c>
      <c r="L191" s="47">
        <v>1158.5992251837661</v>
      </c>
      <c r="M191" s="54">
        <v>10.703619226605722</v>
      </c>
      <c r="N191" s="55">
        <v>1284.3952352553351</v>
      </c>
      <c r="O191" s="55">
        <f t="array" aca="1" ref="O191:O202" ca="1">IF((N191:N202&gt;=L191:L202)+(R165:R176&gt;0),1,0)</f>
        <v>1</v>
      </c>
      <c r="P191" s="50">
        <f t="shared" ref="P191:P202" ca="1" si="234">IF(ISNA(T191),
_xlfn.FORECAST.LINEAR($J61,INDIRECT(W191),INDIRECT(X191)),T191)</f>
        <v>1158.5992251837661</v>
      </c>
      <c r="Q191" s="534">
        <f ca="1">IF(O191=1,δ_0*(SLOPE(INDIRECT(VLOOKUP(S191,$S$190:$X$202,5,FALSE)),INDIRECT(VLOOKUP(S191,$S$190:$X$202,6,FALSE)))-SLOPE(INDIRECT(VLOOKUP(S191-1,$S$190:$X$202,5,FALSE)),INDIRECT(VLOOKUP(S191-1,$S$190:$X$202,6,FALSE)))),0)*86400*VLOOKUP($L$187,Aux!$AL$72:$AN$83,3,FALSE)</f>
        <v>7.6348408883127478E-5</v>
      </c>
      <c r="R191" s="534">
        <f ca="1">IFERROR(IF(Q191+R165&lt;0,0,Q191+R165),0)</f>
        <v>1.0880228659523546E-3</v>
      </c>
      <c r="S191" s="535">
        <f t="array" aca="1" ref="S191" ca="1">SUM(IF(ISNUMBER(T$190:T191),1,0))+IF($J191&gt;Capas_VN_C1,1,0)</f>
        <v>2</v>
      </c>
      <c r="T191" s="50">
        <f t="shared" ref="T191:T202" ca="1" si="235">IF(O191=1,$L191,IF(J191=Capas_VN_C1,$N$207,NA()))</f>
        <v>1158.5992251837661</v>
      </c>
      <c r="U191" s="50">
        <f t="shared" ca="1" si="230"/>
        <v>1158.5992251837661</v>
      </c>
      <c r="V191" s="50">
        <f t="shared" ca="1" si="231"/>
        <v>5000</v>
      </c>
      <c r="W191" s="50" t="str">
        <f t="shared" ca="1" si="232"/>
        <v>$U$191:$U$192</v>
      </c>
      <c r="X191" s="214" t="str">
        <f t="shared" ca="1" si="233"/>
        <v>$V$191:$V$192</v>
      </c>
      <c r="AB191" s="51"/>
      <c r="AC191" s="51"/>
      <c r="AD191" s="51"/>
      <c r="AE191" s="48"/>
      <c r="AF191" s="48"/>
      <c r="AG191" s="50"/>
      <c r="AH191" s="50"/>
      <c r="AI191" s="51"/>
      <c r="AJ191" s="50"/>
      <c r="AK191" s="55"/>
      <c r="AL191" s="55"/>
      <c r="AM191" s="51"/>
      <c r="AN191" s="51"/>
      <c r="AO191" s="51"/>
      <c r="AP191" s="48"/>
      <c r="AQ191" s="48"/>
      <c r="AR191" s="50"/>
      <c r="AS191" s="50"/>
      <c r="AT191" s="51"/>
      <c r="AU191" s="50"/>
      <c r="AV191" s="55"/>
      <c r="AW191" s="55"/>
      <c r="AX191" s="50"/>
      <c r="AY191" s="51"/>
      <c r="AZ191" s="51"/>
      <c r="BA191" s="48"/>
      <c r="BB191" s="48"/>
      <c r="BC191" s="50"/>
      <c r="BD191" s="50"/>
      <c r="BP191" s="53"/>
      <c r="BQ191" s="52"/>
      <c r="BR191" s="54"/>
      <c r="BS191" s="50"/>
      <c r="BT191" s="55"/>
      <c r="BU191" s="55"/>
      <c r="BV191" s="51"/>
      <c r="BW191" s="51"/>
      <c r="BX191" s="51"/>
      <c r="BY191" s="48"/>
      <c r="BZ191" s="48"/>
      <c r="CA191" s="50"/>
      <c r="CB191" s="52"/>
      <c r="CC191" s="54"/>
      <c r="CD191" s="50"/>
      <c r="CE191" s="55"/>
      <c r="CF191" s="55"/>
      <c r="CG191" s="51"/>
      <c r="CH191" s="51"/>
      <c r="CI191" s="51"/>
      <c r="CJ191" s="48"/>
      <c r="CK191" s="48"/>
      <c r="CL191" s="50"/>
      <c r="CM191" s="52"/>
      <c r="CN191" s="54"/>
      <c r="CO191" s="50"/>
      <c r="CP191" s="55"/>
      <c r="CQ191" s="55"/>
      <c r="CR191" s="51"/>
      <c r="CS191" s="51"/>
      <c r="CT191" s="51"/>
      <c r="CU191" s="48"/>
      <c r="CV191" s="48"/>
      <c r="CW191" s="50"/>
      <c r="CX191" s="50"/>
      <c r="CY191" s="54"/>
      <c r="CZ191" s="50"/>
      <c r="DA191" s="55"/>
      <c r="DB191" s="55"/>
      <c r="DC191" s="50"/>
      <c r="DD191" s="51"/>
      <c r="DE191" s="51"/>
      <c r="DF191" s="48"/>
      <c r="DG191" s="48"/>
      <c r="DH191" s="50"/>
      <c r="DI191" s="52"/>
    </row>
    <row r="192" spans="10:113" x14ac:dyDescent="0.25">
      <c r="J192" s="15">
        <v>2</v>
      </c>
      <c r="K192" s="53">
        <v>13.915401301518436</v>
      </c>
      <c r="L192" s="47">
        <v>1588.980809158182</v>
      </c>
      <c r="M192" s="54">
        <v>10.719675617480773</v>
      </c>
      <c r="N192" s="55">
        <v>1285.7699188784284</v>
      </c>
      <c r="O192" s="55">
        <f ca="1"/>
        <v>0</v>
      </c>
      <c r="P192" s="50">
        <f t="shared" ca="1" si="234"/>
        <v>1161.8056761262721</v>
      </c>
      <c r="Q192" s="534">
        <f ca="1">IF(O192=1,δ_0*(SLOPE(INDIRECT(VLOOKUP(S192,$S$190:$X$202,5,FALSE)),INDIRECT(VLOOKUP(S192,$S$190:$X$202,6,FALSE)))-SLOPE(INDIRECT(VLOOKUP(S192-1,$S$190:$X$202,5,FALSE)),INDIRECT(VLOOKUP(S192-1,$S$190:$X$202,6,FALSE)))),0)*86400*VLOOKUP($L$187,Aux!$AL$72:$AN$83,3,FALSE)</f>
        <v>0</v>
      </c>
      <c r="R192" s="534">
        <f t="shared" ref="R192:R202" ca="1" si="236">IFERROR(IF(Q192+R166&lt;0,0,Q192+R166),0)</f>
        <v>0</v>
      </c>
      <c r="S192" s="535">
        <f t="array" aca="1" ref="S192" ca="1">SUM(IF(ISNUMBER(T$190:T192),1,0))+IF($J192&gt;Capas_VN_C1,1,0)</f>
        <v>2</v>
      </c>
      <c r="T192" s="50" t="e">
        <f t="shared" ca="1" si="235"/>
        <v>#N/A</v>
      </c>
      <c r="U192" s="50">
        <f t="shared" ca="1" si="230"/>
        <v>1378.8011748433817</v>
      </c>
      <c r="V192" s="50">
        <f t="shared" ca="1" si="231"/>
        <v>6030.12</v>
      </c>
      <c r="W192" s="50" t="str">
        <f t="shared" ca="1" si="232"/>
        <v>$U$191:$U$192</v>
      </c>
      <c r="X192" s="214" t="str">
        <f t="shared" ca="1" si="233"/>
        <v>$V$191:$V$192</v>
      </c>
      <c r="AB192" s="51"/>
      <c r="AC192" s="51"/>
      <c r="AD192" s="51"/>
      <c r="AE192" s="48"/>
      <c r="AF192" s="48"/>
      <c r="AG192" s="50"/>
      <c r="AH192" s="50"/>
      <c r="AI192" s="51"/>
      <c r="AJ192" s="50"/>
      <c r="AK192" s="55"/>
      <c r="AL192" s="55"/>
      <c r="AM192" s="51"/>
      <c r="AN192" s="51"/>
      <c r="AO192" s="51"/>
      <c r="AP192" s="48"/>
      <c r="AQ192" s="48"/>
      <c r="AR192" s="50"/>
      <c r="AS192" s="50"/>
      <c r="AT192" s="51"/>
      <c r="AU192" s="50"/>
      <c r="AV192" s="55"/>
      <c r="AW192" s="55"/>
      <c r="AX192" s="50"/>
      <c r="AY192" s="51"/>
      <c r="AZ192" s="51"/>
      <c r="BA192" s="48"/>
      <c r="BB192" s="48"/>
      <c r="BC192" s="50"/>
      <c r="BD192" s="50"/>
      <c r="BP192" s="53"/>
      <c r="BQ192" s="52"/>
      <c r="BR192" s="54"/>
      <c r="BS192" s="50"/>
      <c r="BT192" s="55"/>
      <c r="BU192" s="55"/>
      <c r="BV192" s="51"/>
      <c r="BW192" s="51"/>
      <c r="BX192" s="51"/>
      <c r="BY192" s="48"/>
      <c r="BZ192" s="48"/>
      <c r="CA192" s="50"/>
      <c r="CB192" s="52"/>
      <c r="CC192" s="54"/>
      <c r="CD192" s="50"/>
      <c r="CE192" s="55"/>
      <c r="CF192" s="55"/>
      <c r="CG192" s="51"/>
      <c r="CH192" s="51"/>
      <c r="CI192" s="51"/>
      <c r="CJ192" s="48"/>
      <c r="CK192" s="48"/>
      <c r="CL192" s="50"/>
      <c r="CM192" s="52"/>
      <c r="CN192" s="54"/>
      <c r="CO192" s="50"/>
      <c r="CP192" s="55"/>
      <c r="CQ192" s="55"/>
      <c r="CR192" s="51"/>
      <c r="CS192" s="51"/>
      <c r="CT192" s="51"/>
      <c r="CU192" s="48"/>
      <c r="CV192" s="48"/>
      <c r="CW192" s="50"/>
      <c r="CX192" s="50"/>
      <c r="CY192" s="54"/>
      <c r="CZ192" s="50"/>
      <c r="DA192" s="55"/>
      <c r="DB192" s="55"/>
      <c r="DC192" s="50"/>
      <c r="DD192" s="51"/>
      <c r="DE192" s="51"/>
      <c r="DF192" s="48"/>
      <c r="DG192" s="48"/>
      <c r="DH192" s="50"/>
      <c r="DI192" s="52"/>
    </row>
    <row r="193" spans="10:113" x14ac:dyDescent="0.25">
      <c r="J193" s="15">
        <v>3</v>
      </c>
      <c r="K193" s="53">
        <v>13.915401301518436</v>
      </c>
      <c r="L193" s="47">
        <v>1588.980809158182</v>
      </c>
      <c r="M193" s="54">
        <v>11.757099781479605</v>
      </c>
      <c r="N193" s="55">
        <v>1377.4154937513038</v>
      </c>
      <c r="O193" s="55">
        <f ca="1"/>
        <v>0</v>
      </c>
      <c r="P193" s="50">
        <f t="shared" ca="1" si="234"/>
        <v>1375.5690722933359</v>
      </c>
      <c r="Q193" s="534">
        <f ca="1">IF(O193=1,δ_0*(SLOPE(INDIRECT(VLOOKUP(S193,$S$190:$X$202,5,FALSE)),INDIRECT(VLOOKUP(S193,$S$190:$X$202,6,FALSE)))-SLOPE(INDIRECT(VLOOKUP(S193-1,$S$190:$X$202,5,FALSE)),INDIRECT(VLOOKUP(S193-1,$S$190:$X$202,6,FALSE)))),0)*86400*VLOOKUP($L$187,Aux!$AL$72:$AN$83,3,FALSE)</f>
        <v>0</v>
      </c>
      <c r="R193" s="534">
        <f t="shared" ca="1" si="236"/>
        <v>0</v>
      </c>
      <c r="S193" s="535">
        <f t="array" aca="1" ref="S193" ca="1">SUM(IF(ISNUMBER(T$190:T193),1,0))+IF($J193&gt;Capas_VN_C1,1,0)</f>
        <v>2</v>
      </c>
      <c r="T193" s="50" t="e">
        <f t="shared" ca="1" si="235"/>
        <v>#N/A</v>
      </c>
      <c r="U193" s="50" t="e">
        <f t="shared" ca="1" si="230"/>
        <v>#N/A</v>
      </c>
      <c r="V193" s="50" t="e">
        <f t="shared" ca="1" si="231"/>
        <v>#N/A</v>
      </c>
      <c r="W193" s="50" t="str">
        <f t="shared" ca="1" si="232"/>
        <v>$U$191:$U$192</v>
      </c>
      <c r="X193" s="214" t="str">
        <f t="shared" ca="1" si="233"/>
        <v>$V$191:$V$192</v>
      </c>
      <c r="AB193" s="51"/>
      <c r="AC193" s="51"/>
      <c r="AD193" s="51"/>
      <c r="AE193" s="48"/>
      <c r="AF193" s="48"/>
      <c r="AG193" s="50"/>
      <c r="AH193" s="50"/>
      <c r="AI193" s="51"/>
      <c r="AJ193" s="50"/>
      <c r="AK193" s="55"/>
      <c r="AL193" s="55"/>
      <c r="AM193" s="51"/>
      <c r="AN193" s="51"/>
      <c r="AO193" s="51"/>
      <c r="AP193" s="48"/>
      <c r="AQ193" s="48"/>
      <c r="AR193" s="50"/>
      <c r="AS193" s="50"/>
      <c r="AT193" s="51"/>
      <c r="AU193" s="50"/>
      <c r="AV193" s="55"/>
      <c r="AW193" s="55"/>
      <c r="AX193" s="50"/>
      <c r="AY193" s="51"/>
      <c r="AZ193" s="51"/>
      <c r="BA193" s="48"/>
      <c r="BB193" s="48"/>
      <c r="BC193" s="50"/>
      <c r="BD193" s="50"/>
      <c r="BP193" s="53"/>
      <c r="BQ193" s="52"/>
      <c r="BR193" s="54"/>
      <c r="BS193" s="50"/>
      <c r="BT193" s="55"/>
      <c r="BU193" s="55"/>
      <c r="BV193" s="51"/>
      <c r="BW193" s="51"/>
      <c r="BX193" s="51"/>
      <c r="BY193" s="48"/>
      <c r="BZ193" s="48"/>
      <c r="CA193" s="50"/>
      <c r="CB193" s="52"/>
      <c r="CC193" s="54"/>
      <c r="CD193" s="50"/>
      <c r="CE193" s="55"/>
      <c r="CF193" s="55"/>
      <c r="CG193" s="51"/>
      <c r="CH193" s="51"/>
      <c r="CI193" s="51"/>
      <c r="CJ193" s="48"/>
      <c r="CK193" s="48"/>
      <c r="CL193" s="50"/>
      <c r="CM193" s="52"/>
      <c r="CN193" s="54"/>
      <c r="CO193" s="50"/>
      <c r="CP193" s="55"/>
      <c r="CQ193" s="55"/>
      <c r="CR193" s="51"/>
      <c r="CS193" s="51"/>
      <c r="CT193" s="51"/>
      <c r="CU193" s="48"/>
      <c r="CV193" s="48"/>
      <c r="CW193" s="50"/>
      <c r="CX193" s="50"/>
      <c r="CY193" s="54"/>
      <c r="CZ193" s="50"/>
      <c r="DA193" s="55"/>
      <c r="DB193" s="55"/>
      <c r="DC193" s="50"/>
      <c r="DD193" s="51"/>
      <c r="DE193" s="51"/>
      <c r="DF193" s="48"/>
      <c r="DG193" s="48"/>
      <c r="DH193" s="50"/>
      <c r="DI193" s="52"/>
    </row>
    <row r="194" spans="10:113" x14ac:dyDescent="0.25">
      <c r="J194" s="15">
        <v>4</v>
      </c>
      <c r="K194" s="53">
        <v>19.721619667389731</v>
      </c>
      <c r="L194" s="47">
        <v>2296.9839901424702</v>
      </c>
      <c r="M194" s="54">
        <v>11.772188070159538</v>
      </c>
      <c r="N194" s="55">
        <v>1378.790177374397</v>
      </c>
      <c r="O194" s="55">
        <f ca="1"/>
        <v>0</v>
      </c>
      <c r="P194" s="50">
        <f t="shared" ca="1" si="234"/>
        <v>1378.7755232358418</v>
      </c>
      <c r="Q194" s="534">
        <f ca="1">IF(O194=1,δ_0*(SLOPE(INDIRECT(VLOOKUP(S194,$S$190:$X$202,5,FALSE)),INDIRECT(VLOOKUP(S194,$S$190:$X$202,6,FALSE)))-SLOPE(INDIRECT(VLOOKUP(S194-1,$S$190:$X$202,5,FALSE)),INDIRECT(VLOOKUP(S194-1,$S$190:$X$202,6,FALSE)))),0)*86400*VLOOKUP($L$187,Aux!$AL$72:$AN$83,3,FALSE)</f>
        <v>0</v>
      </c>
      <c r="R194" s="534">
        <f t="shared" ca="1" si="236"/>
        <v>0</v>
      </c>
      <c r="S194" s="535">
        <f t="array" aca="1" ref="S194" ca="1">SUM(IF(ISNUMBER(T$190:T194),1,0))+IF($J194&gt;Capas_VN_C1,1,0)</f>
        <v>2</v>
      </c>
      <c r="T194" s="50" t="e">
        <f t="shared" ca="1" si="235"/>
        <v>#N/A</v>
      </c>
      <c r="U194" s="50" t="e">
        <f t="shared" ca="1" si="230"/>
        <v>#N/A</v>
      </c>
      <c r="V194" s="50" t="e">
        <f t="shared" ca="1" si="231"/>
        <v>#N/A</v>
      </c>
      <c r="W194" s="50" t="str">
        <f t="shared" ca="1" si="232"/>
        <v>$U$191:$U$192</v>
      </c>
      <c r="X194" s="214" t="str">
        <f t="shared" ca="1" si="233"/>
        <v>$V$191:$V$192</v>
      </c>
      <c r="AB194" s="51"/>
      <c r="AC194" s="51"/>
      <c r="AD194" s="51"/>
      <c r="AE194" s="48"/>
      <c r="AF194" s="48"/>
      <c r="AG194" s="50"/>
      <c r="AH194" s="50"/>
      <c r="AI194" s="51"/>
      <c r="AJ194" s="50"/>
      <c r="AK194" s="55"/>
      <c r="AL194" s="55"/>
      <c r="AM194" s="51"/>
      <c r="AN194" s="51"/>
      <c r="AO194" s="51"/>
      <c r="AP194" s="48"/>
      <c r="AQ194" s="48"/>
      <c r="AR194" s="50"/>
      <c r="AS194" s="50"/>
      <c r="AT194" s="51"/>
      <c r="AU194" s="50"/>
      <c r="AV194" s="55"/>
      <c r="AW194" s="55"/>
      <c r="AX194" s="50"/>
      <c r="AY194" s="51"/>
      <c r="AZ194" s="51"/>
      <c r="BA194" s="48"/>
      <c r="BB194" s="48"/>
      <c r="BC194" s="50"/>
      <c r="BD194" s="50"/>
      <c r="BP194" s="53"/>
      <c r="BQ194" s="52"/>
      <c r="BR194" s="54"/>
      <c r="BS194" s="50"/>
      <c r="BT194" s="55"/>
      <c r="BU194" s="55"/>
      <c r="BV194" s="51"/>
      <c r="BW194" s="51"/>
      <c r="BX194" s="51"/>
      <c r="BY194" s="48"/>
      <c r="BZ194" s="48"/>
      <c r="CA194" s="50"/>
      <c r="CB194" s="52"/>
      <c r="CC194" s="54"/>
      <c r="CD194" s="50"/>
      <c r="CE194" s="55"/>
      <c r="CF194" s="55"/>
      <c r="CG194" s="51"/>
      <c r="CH194" s="51"/>
      <c r="CI194" s="51"/>
      <c r="CJ194" s="48"/>
      <c r="CK194" s="48"/>
      <c r="CL194" s="50"/>
      <c r="CM194" s="52"/>
      <c r="CN194" s="54"/>
      <c r="CO194" s="50"/>
      <c r="CP194" s="55"/>
      <c r="CQ194" s="55"/>
      <c r="CR194" s="51"/>
      <c r="CS194" s="51"/>
      <c r="CT194" s="51"/>
      <c r="CU194" s="48"/>
      <c r="CV194" s="48"/>
      <c r="CW194" s="50"/>
      <c r="CX194" s="50"/>
      <c r="CY194" s="54"/>
      <c r="CZ194" s="50"/>
      <c r="DA194" s="55"/>
      <c r="DB194" s="55"/>
      <c r="DC194" s="50"/>
      <c r="DD194" s="51"/>
      <c r="DE194" s="51"/>
      <c r="DF194" s="48"/>
      <c r="DG194" s="48"/>
      <c r="DH194" s="50"/>
      <c r="DI194" s="52"/>
    </row>
    <row r="195" spans="10:113" x14ac:dyDescent="0.25">
      <c r="J195" s="15">
        <v>5</v>
      </c>
      <c r="K195" s="53">
        <v>19.840925524222705</v>
      </c>
      <c r="L195" s="47">
        <v>2314.0389672734286</v>
      </c>
      <c r="M195" s="54">
        <v>11.77230872253959</v>
      </c>
      <c r="N195" s="55">
        <v>1378.8011748433817</v>
      </c>
      <c r="O195" s="55">
        <f ca="1"/>
        <v>0</v>
      </c>
      <c r="P195" s="50">
        <f t="shared" ca="1" si="234"/>
        <v>1378.8011748433817</v>
      </c>
      <c r="Q195" s="534">
        <f ca="1">IF(O195=1,δ_0*(SLOPE(INDIRECT(VLOOKUP(S195,$S$190:$X$202,5,FALSE)),INDIRECT(VLOOKUP(S195,$S$190:$X$202,6,FALSE)))-SLOPE(INDIRECT(VLOOKUP(S195-1,$S$190:$X$202,5,FALSE)),INDIRECT(VLOOKUP(S195-1,$S$190:$X$202,6,FALSE)))),0)*86400*VLOOKUP($L$187,Aux!$AL$72:$AN$83,3,FALSE)</f>
        <v>0</v>
      </c>
      <c r="R195" s="534">
        <f t="shared" ca="1" si="236"/>
        <v>0</v>
      </c>
      <c r="S195" s="535">
        <f t="array" aca="1" ref="S195" ca="1">SUM(IF(ISNUMBER(T$190:T195),1,0))+IF($J195&gt;Capas_VN_C1,1,0)</f>
        <v>3</v>
      </c>
      <c r="T195" s="50">
        <f t="shared" ca="1" si="235"/>
        <v>1378.8011748433817</v>
      </c>
      <c r="U195" s="50" t="e">
        <f t="shared" ca="1" si="230"/>
        <v>#N/A</v>
      </c>
      <c r="V195" s="50" t="e">
        <f t="shared" ca="1" si="231"/>
        <v>#N/A</v>
      </c>
      <c r="W195" s="50" t="str">
        <f t="shared" ca="1" si="232"/>
        <v>$U$192:$U$193</v>
      </c>
      <c r="X195" s="214" t="str">
        <f t="shared" ca="1" si="233"/>
        <v>$V$192:$V$193</v>
      </c>
      <c r="AB195" s="51"/>
      <c r="AC195" s="51"/>
      <c r="AD195" s="51"/>
      <c r="AE195" s="48"/>
      <c r="AF195" s="48"/>
      <c r="AG195" s="50"/>
      <c r="AH195" s="50"/>
      <c r="AI195" s="51"/>
      <c r="AJ195" s="50"/>
      <c r="AK195" s="55"/>
      <c r="AL195" s="55"/>
      <c r="AM195" s="51"/>
      <c r="AN195" s="51"/>
      <c r="AO195" s="51"/>
      <c r="AP195" s="48"/>
      <c r="AQ195" s="48"/>
      <c r="AR195" s="50"/>
      <c r="AS195" s="50"/>
      <c r="AT195" s="51"/>
      <c r="AU195" s="50"/>
      <c r="AV195" s="55"/>
      <c r="AW195" s="55"/>
      <c r="AX195" s="50"/>
      <c r="AY195" s="51"/>
      <c r="AZ195" s="51"/>
      <c r="BA195" s="48"/>
      <c r="BB195" s="48"/>
      <c r="BC195" s="50"/>
      <c r="BD195" s="50"/>
      <c r="BP195" s="53"/>
      <c r="BQ195" s="52"/>
      <c r="BR195" s="54"/>
      <c r="BS195" s="50"/>
      <c r="BT195" s="55"/>
      <c r="BU195" s="55"/>
      <c r="BV195" s="51"/>
      <c r="BW195" s="51"/>
      <c r="BX195" s="51"/>
      <c r="BY195" s="48"/>
      <c r="BZ195" s="48"/>
      <c r="CA195" s="50"/>
      <c r="CB195" s="52"/>
      <c r="CC195" s="54"/>
      <c r="CD195" s="50"/>
      <c r="CE195" s="55"/>
      <c r="CF195" s="55"/>
      <c r="CG195" s="51"/>
      <c r="CH195" s="51"/>
      <c r="CI195" s="51"/>
      <c r="CJ195" s="48"/>
      <c r="CK195" s="48"/>
      <c r="CL195" s="50"/>
      <c r="CM195" s="52"/>
      <c r="CN195" s="54"/>
      <c r="CO195" s="50"/>
      <c r="CP195" s="55"/>
      <c r="CQ195" s="55"/>
      <c r="CR195" s="51"/>
      <c r="CS195" s="51"/>
      <c r="CT195" s="51"/>
      <c r="CU195" s="48"/>
      <c r="CV195" s="48"/>
      <c r="CW195" s="50"/>
      <c r="CX195" s="50"/>
      <c r="CY195" s="54"/>
      <c r="CZ195" s="50"/>
      <c r="DA195" s="55"/>
      <c r="DB195" s="55"/>
      <c r="DC195" s="50"/>
      <c r="DD195" s="51"/>
      <c r="DE195" s="51"/>
      <c r="DF195" s="48"/>
      <c r="DG195" s="48"/>
      <c r="DH195" s="50"/>
      <c r="DI195" s="52"/>
    </row>
    <row r="196" spans="10:113" x14ac:dyDescent="0.25">
      <c r="J196" s="15">
        <v>6</v>
      </c>
      <c r="K196" s="53">
        <v>20</v>
      </c>
      <c r="L196" s="47">
        <v>2336.9511438023419</v>
      </c>
      <c r="M196" s="54" t="e">
        <v>#N/A</v>
      </c>
      <c r="N196" s="55" t="e">
        <v>#N/A</v>
      </c>
      <c r="O196" s="55" t="e">
        <f ca="1"/>
        <v>#N/A</v>
      </c>
      <c r="P196" s="50" t="e">
        <f t="shared" ca="1" si="234"/>
        <v>#N/A</v>
      </c>
      <c r="Q196" s="534" t="e">
        <f ca="1">IF(O196=1,δ_0*(SLOPE(INDIRECT(VLOOKUP(S196,$S$190:$X$202,5,FALSE)),INDIRECT(VLOOKUP(S196,$S$190:$X$202,6,FALSE)))-SLOPE(INDIRECT(VLOOKUP(S196-1,$S$190:$X$202,5,FALSE)),INDIRECT(VLOOKUP(S196-1,$S$190:$X$202,6,FALSE)))),0)*86400*VLOOKUP($L$187,Aux!$AL$72:$AN$83,3,FALSE)</f>
        <v>#N/A</v>
      </c>
      <c r="R196" s="534">
        <f t="shared" ca="1" si="236"/>
        <v>0</v>
      </c>
      <c r="S196" s="535">
        <f t="array" aca="1" ref="S196" ca="1">SUM(IF(ISNUMBER(T$190:T196),1,0))+IF($J196&gt;Capas_VN_C1,1,0)</f>
        <v>4</v>
      </c>
      <c r="T196" s="50" t="e">
        <f t="shared" ca="1" si="235"/>
        <v>#N/A</v>
      </c>
      <c r="U196" s="50" t="e">
        <f t="shared" ca="1" si="230"/>
        <v>#N/A</v>
      </c>
      <c r="V196" s="50" t="e">
        <f t="shared" ca="1" si="231"/>
        <v>#N/A</v>
      </c>
      <c r="W196" s="50" t="str">
        <f t="shared" ca="1" si="232"/>
        <v>$U$193:$U$194</v>
      </c>
      <c r="X196" s="214" t="str">
        <f t="shared" ca="1" si="233"/>
        <v>$V$193:$V$194</v>
      </c>
      <c r="AB196" s="51"/>
      <c r="AC196" s="51"/>
      <c r="AD196" s="51"/>
      <c r="AE196" s="48"/>
      <c r="AF196" s="48"/>
      <c r="AG196" s="50"/>
      <c r="AH196" s="50"/>
      <c r="AI196" s="51"/>
      <c r="AJ196" s="50"/>
      <c r="AK196" s="55"/>
      <c r="AL196" s="55"/>
      <c r="AM196" s="51"/>
      <c r="AN196" s="51"/>
      <c r="AO196" s="51"/>
      <c r="AP196" s="48"/>
      <c r="AQ196" s="48"/>
      <c r="AR196" s="50"/>
      <c r="AS196" s="50"/>
      <c r="AT196" s="51"/>
      <c r="AU196" s="50"/>
      <c r="AV196" s="55"/>
      <c r="AW196" s="55"/>
      <c r="AX196" s="50"/>
      <c r="AY196" s="51"/>
      <c r="AZ196" s="51"/>
      <c r="BA196" s="48"/>
      <c r="BB196" s="48"/>
      <c r="BC196" s="50"/>
      <c r="BD196" s="50"/>
      <c r="BP196" s="53"/>
      <c r="BQ196" s="52"/>
      <c r="BR196" s="54"/>
      <c r="BS196" s="50"/>
      <c r="BT196" s="55"/>
      <c r="BU196" s="55"/>
      <c r="BV196" s="51"/>
      <c r="BW196" s="51"/>
      <c r="BX196" s="51"/>
      <c r="BY196" s="48"/>
      <c r="BZ196" s="48"/>
      <c r="CA196" s="50"/>
      <c r="CB196" s="52"/>
      <c r="CC196" s="54"/>
      <c r="CD196" s="50"/>
      <c r="CE196" s="55"/>
      <c r="CF196" s="55"/>
      <c r="CG196" s="51"/>
      <c r="CH196" s="51"/>
      <c r="CI196" s="51"/>
      <c r="CJ196" s="48"/>
      <c r="CK196" s="48"/>
      <c r="CL196" s="50"/>
      <c r="CM196" s="52"/>
      <c r="CN196" s="54"/>
      <c r="CO196" s="50"/>
      <c r="CP196" s="55"/>
      <c r="CQ196" s="55"/>
      <c r="CR196" s="51"/>
      <c r="CS196" s="51"/>
      <c r="CT196" s="51"/>
      <c r="CU196" s="48"/>
      <c r="CV196" s="48"/>
      <c r="CW196" s="50"/>
      <c r="CX196" s="50"/>
      <c r="CY196" s="54"/>
      <c r="CZ196" s="50"/>
      <c r="DA196" s="55"/>
      <c r="DB196" s="55"/>
      <c r="DC196" s="50"/>
      <c r="DD196" s="51"/>
      <c r="DE196" s="51"/>
      <c r="DF196" s="48"/>
      <c r="DG196" s="48"/>
      <c r="DH196" s="50"/>
      <c r="DI196" s="52"/>
    </row>
    <row r="197" spans="10:113" x14ac:dyDescent="0.25">
      <c r="J197" s="15">
        <v>7</v>
      </c>
      <c r="K197" s="53" t="e">
        <v>#N/A</v>
      </c>
      <c r="L197" s="47" t="e">
        <v>#N/A</v>
      </c>
      <c r="M197" s="54" t="e">
        <v>#N/A</v>
      </c>
      <c r="N197" s="55" t="e">
        <v>#N/A</v>
      </c>
      <c r="O197" s="55" t="e">
        <f ca="1"/>
        <v>#N/A</v>
      </c>
      <c r="P197" s="50" t="e">
        <f t="shared" ca="1" si="234"/>
        <v>#N/A</v>
      </c>
      <c r="Q197" s="534" t="e">
        <f ca="1">IF(O197=1,δ_0*(SLOPE(INDIRECT(VLOOKUP(S197,$S$190:$X$202,5,FALSE)),INDIRECT(VLOOKUP(S197,$S$190:$X$202,6,FALSE)))-SLOPE(INDIRECT(VLOOKUP(S197-1,$S$190:$X$202,5,FALSE)),INDIRECT(VLOOKUP(S197-1,$S$190:$X$202,6,FALSE)))),0)*86400*VLOOKUP($L$187,Aux!$AL$72:$AN$83,3,FALSE)</f>
        <v>#N/A</v>
      </c>
      <c r="R197" s="534">
        <f t="shared" ca="1" si="236"/>
        <v>0</v>
      </c>
      <c r="S197" s="535">
        <f t="array" aca="1" ref="S197" ca="1">SUM(IF(ISNUMBER(T$190:T197),1,0))+IF($J197&gt;Capas_VN_C1,1,0)</f>
        <v>4</v>
      </c>
      <c r="T197" s="50" t="e">
        <f t="shared" ca="1" si="235"/>
        <v>#N/A</v>
      </c>
      <c r="U197" s="50" t="e">
        <f t="shared" ca="1" si="230"/>
        <v>#N/A</v>
      </c>
      <c r="V197" s="50" t="e">
        <f t="shared" ca="1" si="231"/>
        <v>#N/A</v>
      </c>
      <c r="W197" s="50" t="str">
        <f t="shared" ca="1" si="232"/>
        <v>$U$193:$U$194</v>
      </c>
      <c r="X197" s="214" t="str">
        <f t="shared" ca="1" si="233"/>
        <v>$V$193:$V$194</v>
      </c>
      <c r="AB197" s="51"/>
      <c r="AC197" s="51"/>
      <c r="AD197" s="51"/>
      <c r="AE197" s="48"/>
      <c r="AF197" s="48"/>
      <c r="AG197" s="50"/>
      <c r="AH197" s="50"/>
      <c r="AI197" s="51"/>
      <c r="AJ197" s="50"/>
      <c r="AK197" s="55"/>
      <c r="AL197" s="55"/>
      <c r="AM197" s="51"/>
      <c r="AN197" s="51"/>
      <c r="AO197" s="51"/>
      <c r="AP197" s="48"/>
      <c r="AQ197" s="48"/>
      <c r="AR197" s="50"/>
      <c r="AS197" s="50"/>
      <c r="AT197" s="51"/>
      <c r="AU197" s="50"/>
      <c r="AV197" s="55"/>
      <c r="AW197" s="55"/>
      <c r="AX197" s="50"/>
      <c r="AY197" s="51"/>
      <c r="AZ197" s="51"/>
      <c r="BA197" s="48"/>
      <c r="BB197" s="48"/>
      <c r="BC197" s="50"/>
      <c r="BD197" s="50"/>
      <c r="BP197" s="53"/>
      <c r="BQ197" s="52"/>
      <c r="BR197" s="54"/>
      <c r="BS197" s="50"/>
      <c r="BT197" s="55"/>
      <c r="BU197" s="55"/>
      <c r="BV197" s="51"/>
      <c r="BW197" s="51"/>
      <c r="BX197" s="51"/>
      <c r="BY197" s="48"/>
      <c r="BZ197" s="48"/>
      <c r="CA197" s="50"/>
      <c r="CB197" s="52"/>
      <c r="CC197" s="54"/>
      <c r="CD197" s="50"/>
      <c r="CE197" s="55"/>
      <c r="CF197" s="55"/>
      <c r="CG197" s="51"/>
      <c r="CH197" s="51"/>
      <c r="CI197" s="51"/>
      <c r="CJ197" s="48"/>
      <c r="CK197" s="48"/>
      <c r="CL197" s="50"/>
      <c r="CM197" s="52"/>
      <c r="CN197" s="54"/>
      <c r="CO197" s="50"/>
      <c r="CP197" s="55"/>
      <c r="CQ197" s="55"/>
      <c r="CR197" s="51"/>
      <c r="CS197" s="51"/>
      <c r="CT197" s="51"/>
      <c r="CU197" s="48"/>
      <c r="CV197" s="48"/>
      <c r="CW197" s="50"/>
      <c r="CX197" s="50"/>
      <c r="CY197" s="54"/>
      <c r="CZ197" s="50"/>
      <c r="DA197" s="55"/>
      <c r="DB197" s="55"/>
      <c r="DC197" s="50"/>
      <c r="DD197" s="51"/>
      <c r="DE197" s="51"/>
      <c r="DF197" s="48"/>
      <c r="DG197" s="48"/>
      <c r="DH197" s="50"/>
      <c r="DI197" s="52"/>
    </row>
    <row r="198" spans="10:113" x14ac:dyDescent="0.25">
      <c r="J198" s="15">
        <v>8</v>
      </c>
      <c r="K198" s="53" t="e">
        <v>#N/A</v>
      </c>
      <c r="L198" s="47" t="e">
        <v>#N/A</v>
      </c>
      <c r="M198" s="54" t="e">
        <v>#N/A</v>
      </c>
      <c r="N198" s="55" t="e">
        <v>#N/A</v>
      </c>
      <c r="O198" s="55" t="e">
        <f ca="1"/>
        <v>#N/A</v>
      </c>
      <c r="P198" s="50" t="e">
        <f t="shared" ca="1" si="234"/>
        <v>#N/A</v>
      </c>
      <c r="Q198" s="534" t="e">
        <f ca="1">IF(O198=1,δ_0*(SLOPE(INDIRECT(VLOOKUP(S198,$S$190:$X$202,5,FALSE)),INDIRECT(VLOOKUP(S198,$S$190:$X$202,6,FALSE)))-SLOPE(INDIRECT(VLOOKUP(S198-1,$S$190:$X$202,5,FALSE)),INDIRECT(VLOOKUP(S198-1,$S$190:$X$202,6,FALSE)))),0)*86400*VLOOKUP($L$187,Aux!$AL$72:$AN$83,3,FALSE)</f>
        <v>#N/A</v>
      </c>
      <c r="R198" s="534">
        <f t="shared" ca="1" si="236"/>
        <v>0</v>
      </c>
      <c r="S198" s="535">
        <f t="array" aca="1" ref="S198" ca="1">SUM(IF(ISNUMBER(T$190:T198),1,0))+IF($J198&gt;Capas_VN_C1,1,0)</f>
        <v>4</v>
      </c>
      <c r="T198" s="50" t="e">
        <f t="shared" ca="1" si="235"/>
        <v>#N/A</v>
      </c>
      <c r="U198" s="50" t="e">
        <f t="shared" ca="1" si="230"/>
        <v>#N/A</v>
      </c>
      <c r="V198" s="50" t="e">
        <f t="shared" ca="1" si="231"/>
        <v>#N/A</v>
      </c>
      <c r="W198" s="50" t="str">
        <f t="shared" ca="1" si="232"/>
        <v>$U$193:$U$194</v>
      </c>
      <c r="X198" s="214" t="str">
        <f t="shared" ca="1" si="233"/>
        <v>$V$193:$V$194</v>
      </c>
      <c r="AB198" s="51"/>
      <c r="AC198" s="51"/>
      <c r="AD198" s="51"/>
      <c r="AE198" s="48"/>
      <c r="AF198" s="48"/>
      <c r="AG198" s="50"/>
      <c r="AH198" s="50"/>
      <c r="AI198" s="51"/>
      <c r="AJ198" s="50"/>
      <c r="AK198" s="55"/>
      <c r="AL198" s="55"/>
      <c r="AM198" s="51"/>
      <c r="AN198" s="51"/>
      <c r="AO198" s="51"/>
      <c r="AP198" s="48"/>
      <c r="AQ198" s="48"/>
      <c r="AR198" s="50"/>
      <c r="AS198" s="50"/>
      <c r="AT198" s="51"/>
      <c r="AU198" s="50"/>
      <c r="AV198" s="55"/>
      <c r="AW198" s="55"/>
      <c r="AX198" s="50"/>
      <c r="AY198" s="51"/>
      <c r="AZ198" s="51"/>
      <c r="BA198" s="48"/>
      <c r="BB198" s="48"/>
      <c r="BC198" s="50"/>
      <c r="BD198" s="50"/>
      <c r="BP198" s="53"/>
      <c r="BQ198" s="52"/>
      <c r="BR198" s="54"/>
      <c r="BS198" s="50"/>
      <c r="BT198" s="55"/>
      <c r="BU198" s="55"/>
      <c r="BV198" s="51"/>
      <c r="BW198" s="51"/>
      <c r="BX198" s="51"/>
      <c r="BY198" s="48"/>
      <c r="BZ198" s="48"/>
      <c r="CA198" s="50"/>
      <c r="CB198" s="52"/>
      <c r="CC198" s="54"/>
      <c r="CD198" s="50"/>
      <c r="CE198" s="55"/>
      <c r="CF198" s="55"/>
      <c r="CG198" s="51"/>
      <c r="CH198" s="51"/>
      <c r="CI198" s="51"/>
      <c r="CJ198" s="48"/>
      <c r="CK198" s="48"/>
      <c r="CL198" s="50"/>
      <c r="CM198" s="52"/>
      <c r="CN198" s="54"/>
      <c r="CO198" s="50"/>
      <c r="CP198" s="55"/>
      <c r="CQ198" s="55"/>
      <c r="CR198" s="51"/>
      <c r="CS198" s="51"/>
      <c r="CT198" s="51"/>
      <c r="CU198" s="48"/>
      <c r="CV198" s="48"/>
      <c r="CW198" s="50"/>
      <c r="CX198" s="50"/>
      <c r="CY198" s="54"/>
      <c r="CZ198" s="50"/>
      <c r="DA198" s="55"/>
      <c r="DB198" s="55"/>
      <c r="DC198" s="50"/>
      <c r="DD198" s="51"/>
      <c r="DE198" s="51"/>
      <c r="DF198" s="48"/>
      <c r="DG198" s="48"/>
      <c r="DH198" s="50"/>
      <c r="DI198" s="52"/>
    </row>
    <row r="199" spans="10:113" x14ac:dyDescent="0.25">
      <c r="J199" s="15">
        <v>9</v>
      </c>
      <c r="K199" s="53" t="e">
        <v>#N/A</v>
      </c>
      <c r="L199" s="47" t="e">
        <v>#N/A</v>
      </c>
      <c r="M199" s="54" t="e">
        <v>#N/A</v>
      </c>
      <c r="N199" s="55" t="e">
        <v>#N/A</v>
      </c>
      <c r="O199" s="55" t="e">
        <f ca="1"/>
        <v>#N/A</v>
      </c>
      <c r="P199" s="50" t="e">
        <f t="shared" ca="1" si="234"/>
        <v>#N/A</v>
      </c>
      <c r="Q199" s="534" t="e">
        <f ca="1">IF(O199=1,δ_0*(SLOPE(INDIRECT(VLOOKUP(S199,$S$190:$X$202,5,FALSE)),INDIRECT(VLOOKUP(S199,$S$190:$X$202,6,FALSE)))-SLOPE(INDIRECT(VLOOKUP(S199-1,$S$190:$X$202,5,FALSE)),INDIRECT(VLOOKUP(S199-1,$S$190:$X$202,6,FALSE)))),0)*86400*VLOOKUP($L$187,Aux!$AL$72:$AN$83,3,FALSE)</f>
        <v>#N/A</v>
      </c>
      <c r="R199" s="534">
        <f t="shared" ca="1" si="236"/>
        <v>0</v>
      </c>
      <c r="S199" s="535">
        <f t="array" aca="1" ref="S199" ca="1">SUM(IF(ISNUMBER(T$190:T199),1,0))+IF($J199&gt;Capas_VN_C1,1,0)</f>
        <v>4</v>
      </c>
      <c r="T199" s="50" t="e">
        <f t="shared" ca="1" si="235"/>
        <v>#N/A</v>
      </c>
      <c r="U199" s="50" t="e">
        <f t="shared" ca="1" si="230"/>
        <v>#N/A</v>
      </c>
      <c r="V199" s="50" t="e">
        <f t="shared" ca="1" si="231"/>
        <v>#N/A</v>
      </c>
      <c r="W199" s="50" t="str">
        <f t="shared" ca="1" si="232"/>
        <v>$U$193:$U$194</v>
      </c>
      <c r="X199" s="214" t="str">
        <f t="shared" ca="1" si="233"/>
        <v>$V$193:$V$194</v>
      </c>
      <c r="AB199" s="51"/>
      <c r="AC199" s="51"/>
      <c r="AD199" s="51"/>
      <c r="AE199" s="48"/>
      <c r="AF199" s="48"/>
      <c r="AG199" s="50"/>
      <c r="AH199" s="50"/>
      <c r="AI199" s="51"/>
      <c r="AJ199" s="50"/>
      <c r="AK199" s="55"/>
      <c r="AL199" s="55"/>
      <c r="AM199" s="51"/>
      <c r="AN199" s="51"/>
      <c r="AO199" s="51"/>
      <c r="AP199" s="48"/>
      <c r="AQ199" s="48"/>
      <c r="AR199" s="50"/>
      <c r="AS199" s="50"/>
      <c r="AT199" s="51"/>
      <c r="AU199" s="50"/>
      <c r="AV199" s="55"/>
      <c r="AW199" s="55"/>
      <c r="AX199" s="50"/>
      <c r="AY199" s="51"/>
      <c r="AZ199" s="51"/>
      <c r="BA199" s="48"/>
      <c r="BB199" s="48"/>
      <c r="BC199" s="50"/>
      <c r="BD199" s="50"/>
      <c r="BP199" s="53"/>
      <c r="BQ199" s="52"/>
      <c r="BR199" s="54"/>
      <c r="BS199" s="50"/>
      <c r="BT199" s="55"/>
      <c r="BU199" s="55"/>
      <c r="BV199" s="51"/>
      <c r="BW199" s="51"/>
      <c r="BX199" s="51"/>
      <c r="BY199" s="48"/>
      <c r="BZ199" s="48"/>
      <c r="CA199" s="50"/>
      <c r="CB199" s="52"/>
      <c r="CC199" s="54"/>
      <c r="CD199" s="50"/>
      <c r="CE199" s="55"/>
      <c r="CF199" s="55"/>
      <c r="CG199" s="51"/>
      <c r="CH199" s="51"/>
      <c r="CI199" s="51"/>
      <c r="CJ199" s="48"/>
      <c r="CK199" s="48"/>
      <c r="CL199" s="50"/>
      <c r="CM199" s="52"/>
      <c r="CN199" s="54"/>
      <c r="CO199" s="50"/>
      <c r="CP199" s="55"/>
      <c r="CQ199" s="55"/>
      <c r="CR199" s="51"/>
      <c r="CS199" s="51"/>
      <c r="CT199" s="51"/>
      <c r="CU199" s="48"/>
      <c r="CV199" s="48"/>
      <c r="CW199" s="50"/>
      <c r="CX199" s="50"/>
      <c r="CY199" s="54"/>
      <c r="CZ199" s="50"/>
      <c r="DA199" s="55"/>
      <c r="DB199" s="55"/>
      <c r="DC199" s="50"/>
      <c r="DD199" s="51"/>
      <c r="DE199" s="51"/>
      <c r="DF199" s="48"/>
      <c r="DG199" s="48"/>
      <c r="DH199" s="50"/>
      <c r="DI199" s="52"/>
    </row>
    <row r="200" spans="10:113" x14ac:dyDescent="0.25">
      <c r="J200" s="15">
        <v>10</v>
      </c>
      <c r="K200" s="53" t="e">
        <v>#N/A</v>
      </c>
      <c r="L200" s="47" t="e">
        <v>#N/A</v>
      </c>
      <c r="M200" s="54" t="e">
        <v>#N/A</v>
      </c>
      <c r="N200" s="55" t="e">
        <v>#N/A</v>
      </c>
      <c r="O200" s="55" t="e">
        <f ca="1"/>
        <v>#N/A</v>
      </c>
      <c r="P200" s="50" t="e">
        <f t="shared" ca="1" si="234"/>
        <v>#N/A</v>
      </c>
      <c r="Q200" s="534" t="e">
        <f ca="1">IF(O200=1,δ_0*(SLOPE(INDIRECT(VLOOKUP(S200,$S$190:$X$202,5,FALSE)),INDIRECT(VLOOKUP(S200,$S$190:$X$202,6,FALSE)))-SLOPE(INDIRECT(VLOOKUP(S200-1,$S$190:$X$202,5,FALSE)),INDIRECT(VLOOKUP(S200-1,$S$190:$X$202,6,FALSE)))),0)*86400*VLOOKUP($L$187,Aux!$AL$72:$AN$83,3,FALSE)</f>
        <v>#N/A</v>
      </c>
      <c r="R200" s="534">
        <f t="shared" ca="1" si="236"/>
        <v>0</v>
      </c>
      <c r="S200" s="535">
        <f t="array" aca="1" ref="S200" ca="1">SUM(IF(ISNUMBER(T$190:T200),1,0))+IF($J200&gt;Capas_VN_C1,1,0)</f>
        <v>4</v>
      </c>
      <c r="T200" s="50" t="e">
        <f t="shared" ca="1" si="235"/>
        <v>#N/A</v>
      </c>
      <c r="U200" s="50" t="e">
        <f t="shared" ca="1" si="230"/>
        <v>#N/A</v>
      </c>
      <c r="V200" s="50" t="e">
        <f t="shared" ca="1" si="231"/>
        <v>#N/A</v>
      </c>
      <c r="W200" s="50" t="str">
        <f t="shared" ca="1" si="232"/>
        <v>$U$193:$U$194</v>
      </c>
      <c r="X200" s="214" t="str">
        <f t="shared" ca="1" si="233"/>
        <v>$V$193:$V$194</v>
      </c>
      <c r="AB200" s="51"/>
      <c r="AC200" s="51"/>
      <c r="AD200" s="51"/>
      <c r="AE200" s="48"/>
      <c r="AF200" s="48"/>
      <c r="AG200" s="50"/>
      <c r="AH200" s="50"/>
      <c r="AI200" s="51"/>
      <c r="AJ200" s="50"/>
      <c r="AK200" s="55"/>
      <c r="AL200" s="55"/>
      <c r="AM200" s="51"/>
      <c r="AN200" s="51"/>
      <c r="AO200" s="51"/>
      <c r="AP200" s="48"/>
      <c r="AQ200" s="48"/>
      <c r="AR200" s="50"/>
      <c r="AS200" s="50"/>
      <c r="AT200" s="51"/>
      <c r="AU200" s="50"/>
      <c r="AV200" s="55"/>
      <c r="AW200" s="55"/>
      <c r="AX200" s="50"/>
      <c r="AY200" s="51"/>
      <c r="AZ200" s="51"/>
      <c r="BA200" s="48"/>
      <c r="BB200" s="48"/>
      <c r="BC200" s="50"/>
      <c r="BD200" s="50"/>
      <c r="BP200" s="53"/>
      <c r="BQ200" s="52"/>
      <c r="BR200" s="54"/>
      <c r="BS200" s="50"/>
      <c r="BT200" s="55"/>
      <c r="BU200" s="55"/>
      <c r="BV200" s="51"/>
      <c r="BW200" s="51"/>
      <c r="BX200" s="51"/>
      <c r="BY200" s="48"/>
      <c r="BZ200" s="48"/>
      <c r="CA200" s="50"/>
      <c r="CB200" s="52"/>
      <c r="CC200" s="54"/>
      <c r="CD200" s="50"/>
      <c r="CE200" s="55"/>
      <c r="CF200" s="55"/>
      <c r="CG200" s="51"/>
      <c r="CH200" s="51"/>
      <c r="CI200" s="51"/>
      <c r="CJ200" s="48"/>
      <c r="CK200" s="48"/>
      <c r="CL200" s="50"/>
      <c r="CM200" s="52"/>
      <c r="CN200" s="54"/>
      <c r="CO200" s="50"/>
      <c r="CP200" s="55"/>
      <c r="CQ200" s="55"/>
      <c r="CR200" s="51"/>
      <c r="CS200" s="51"/>
      <c r="CT200" s="51"/>
      <c r="CU200" s="48"/>
      <c r="CV200" s="48"/>
      <c r="CW200" s="50"/>
      <c r="CX200" s="50"/>
      <c r="CY200" s="54"/>
      <c r="CZ200" s="50"/>
      <c r="DA200" s="55"/>
      <c r="DB200" s="55"/>
      <c r="DC200" s="50"/>
      <c r="DD200" s="51"/>
      <c r="DE200" s="51"/>
      <c r="DF200" s="48"/>
      <c r="DG200" s="48"/>
      <c r="DH200" s="50"/>
      <c r="DI200" s="52"/>
    </row>
    <row r="201" spans="10:113" x14ac:dyDescent="0.25">
      <c r="J201" s="15">
        <v>11</v>
      </c>
      <c r="K201" s="53" t="e">
        <v>#N/A</v>
      </c>
      <c r="L201" s="47" t="e">
        <v>#N/A</v>
      </c>
      <c r="M201" s="54" t="e">
        <v>#N/A</v>
      </c>
      <c r="N201" s="55" t="e">
        <v>#N/A</v>
      </c>
      <c r="O201" s="55" t="e">
        <f ca="1"/>
        <v>#N/A</v>
      </c>
      <c r="P201" s="50" t="e">
        <f t="shared" ca="1" si="234"/>
        <v>#N/A</v>
      </c>
      <c r="Q201" s="534" t="e">
        <f ca="1">IF(O201=1,δ_0*(SLOPE(INDIRECT(VLOOKUP(S201,$S$190:$X$202,5,FALSE)),INDIRECT(VLOOKUP(S201,$S$190:$X$202,6,FALSE)))-SLOPE(INDIRECT(VLOOKUP(S201-1,$S$190:$X$202,5,FALSE)),INDIRECT(VLOOKUP(S201-1,$S$190:$X$202,6,FALSE)))),0)*86400*VLOOKUP($L$187,Aux!$AL$72:$AN$83,3,FALSE)</f>
        <v>#N/A</v>
      </c>
      <c r="R201" s="534">
        <f t="shared" ca="1" si="236"/>
        <v>0</v>
      </c>
      <c r="S201" s="535">
        <f t="array" aca="1" ref="S201" ca="1">SUM(IF(ISNUMBER(T$190:T201),1,0))+IF($J201&gt;Capas_VN_C1,1,0)</f>
        <v>4</v>
      </c>
      <c r="T201" s="50" t="e">
        <f t="shared" ca="1" si="235"/>
        <v>#N/A</v>
      </c>
      <c r="U201" s="50" t="e">
        <f t="shared" ca="1" si="230"/>
        <v>#N/A</v>
      </c>
      <c r="V201" s="50" t="e">
        <f t="shared" ca="1" si="231"/>
        <v>#N/A</v>
      </c>
      <c r="W201" s="50" t="str">
        <f t="shared" ca="1" si="232"/>
        <v>$U$193:$U$194</v>
      </c>
      <c r="X201" s="214" t="str">
        <f t="shared" ca="1" si="233"/>
        <v>$V$193:$V$194</v>
      </c>
      <c r="AB201" s="51"/>
      <c r="AC201" s="51"/>
      <c r="AD201" s="51"/>
      <c r="AE201" s="48"/>
      <c r="AF201" s="48"/>
      <c r="AG201" s="50"/>
      <c r="AH201" s="50"/>
      <c r="AI201" s="51"/>
      <c r="AJ201" s="50"/>
      <c r="AK201" s="55"/>
      <c r="AL201" s="55"/>
      <c r="AM201" s="51"/>
      <c r="AN201" s="51"/>
      <c r="AO201" s="51"/>
      <c r="AP201" s="48"/>
      <c r="AQ201" s="48"/>
      <c r="AR201" s="50"/>
      <c r="AS201" s="50"/>
      <c r="AT201" s="51"/>
      <c r="AU201" s="50"/>
      <c r="AV201" s="55"/>
      <c r="AW201" s="55"/>
      <c r="AX201" s="50"/>
      <c r="AY201" s="51"/>
      <c r="AZ201" s="51"/>
      <c r="BA201" s="48"/>
      <c r="BB201" s="48"/>
      <c r="BC201" s="50"/>
      <c r="BD201" s="50"/>
      <c r="BP201" s="53"/>
      <c r="BQ201" s="52"/>
      <c r="BR201" s="54"/>
      <c r="BS201" s="50"/>
      <c r="BT201" s="55"/>
      <c r="BU201" s="55"/>
      <c r="BV201" s="51"/>
      <c r="BW201" s="51"/>
      <c r="BX201" s="51"/>
      <c r="BY201" s="48"/>
      <c r="BZ201" s="48"/>
      <c r="CA201" s="50"/>
      <c r="CB201" s="52"/>
      <c r="CC201" s="54"/>
      <c r="CD201" s="50"/>
      <c r="CE201" s="55"/>
      <c r="CF201" s="55"/>
      <c r="CG201" s="51"/>
      <c r="CH201" s="51"/>
      <c r="CI201" s="51"/>
      <c r="CJ201" s="48"/>
      <c r="CK201" s="48"/>
      <c r="CL201" s="50"/>
      <c r="CM201" s="52"/>
      <c r="CN201" s="54"/>
      <c r="CO201" s="50"/>
      <c r="CP201" s="55"/>
      <c r="CQ201" s="55"/>
      <c r="CR201" s="51"/>
      <c r="CS201" s="51"/>
      <c r="CT201" s="51"/>
      <c r="CU201" s="48"/>
      <c r="CV201" s="48"/>
      <c r="CW201" s="50"/>
      <c r="CX201" s="50"/>
      <c r="CY201" s="54"/>
      <c r="CZ201" s="50"/>
      <c r="DA201" s="55"/>
      <c r="DB201" s="55"/>
      <c r="DC201" s="50"/>
      <c r="DD201" s="51"/>
      <c r="DE201" s="51"/>
      <c r="DF201" s="48"/>
      <c r="DG201" s="48"/>
      <c r="DH201" s="50"/>
      <c r="DI201" s="52"/>
    </row>
    <row r="202" spans="10:113" x14ac:dyDescent="0.25">
      <c r="J202" s="517">
        <v>12</v>
      </c>
      <c r="K202" s="53" t="e">
        <v>#N/A</v>
      </c>
      <c r="L202" s="47" t="e">
        <v>#N/A</v>
      </c>
      <c r="M202" s="54" t="e">
        <v>#N/A</v>
      </c>
      <c r="N202" s="55" t="e">
        <v>#N/A</v>
      </c>
      <c r="O202" s="55" t="e">
        <f ca="1"/>
        <v>#N/A</v>
      </c>
      <c r="P202" s="50" t="e">
        <f t="shared" ca="1" si="234"/>
        <v>#N/A</v>
      </c>
      <c r="Q202" s="534" t="e">
        <f ca="1">IF(O202=1,δ_0*(SLOPE(INDIRECT(VLOOKUP(S202,$S$190:$X$202,5,FALSE)),INDIRECT(VLOOKUP(S202,$S$190:$X$202,6,FALSE)))-SLOPE(INDIRECT(VLOOKUP(S202-1,$S$190:$X$202,5,FALSE)),INDIRECT(VLOOKUP(S202-1,$S$190:$X$202,6,FALSE)))),0)*86400*VLOOKUP($L$187,Aux!$AL$72:$AN$83,3,FALSE)</f>
        <v>#N/A</v>
      </c>
      <c r="R202" s="534">
        <f t="shared" ca="1" si="236"/>
        <v>0</v>
      </c>
      <c r="S202" s="535">
        <f t="array" aca="1" ref="S202" ca="1">SUM(IF(ISNUMBER(T$190:T202),1,0))+IF($J202&gt;Capas_VN_C1,1,0)</f>
        <v>4</v>
      </c>
      <c r="T202" s="50" t="e">
        <f t="shared" ca="1" si="235"/>
        <v>#N/A</v>
      </c>
      <c r="U202" s="50" t="e">
        <f t="shared" ca="1" si="230"/>
        <v>#N/A</v>
      </c>
      <c r="V202" s="50" t="e">
        <f t="shared" ca="1" si="231"/>
        <v>#N/A</v>
      </c>
      <c r="W202" s="50" t="str">
        <f t="shared" ca="1" si="232"/>
        <v>$U$193:$U$194</v>
      </c>
      <c r="X202" s="214" t="str">
        <f t="shared" ca="1" si="233"/>
        <v>$V$193:$V$194</v>
      </c>
      <c r="AB202" s="51"/>
      <c r="AC202" s="51"/>
      <c r="AD202" s="51"/>
      <c r="AE202" s="48"/>
      <c r="AF202" s="48"/>
      <c r="AG202" s="50"/>
      <c r="AH202" s="50"/>
      <c r="AI202" s="51"/>
      <c r="AJ202" s="50"/>
      <c r="AK202" s="55"/>
      <c r="AL202" s="55"/>
      <c r="AM202" s="51"/>
      <c r="AN202" s="51"/>
      <c r="AO202" s="51"/>
      <c r="AP202" s="48"/>
      <c r="AQ202" s="48"/>
      <c r="AR202" s="50"/>
      <c r="AS202" s="50"/>
      <c r="AT202" s="51"/>
      <c r="AU202" s="50"/>
      <c r="AV202" s="55"/>
      <c r="AW202" s="55"/>
      <c r="AX202" s="50"/>
      <c r="AY202" s="51"/>
      <c r="AZ202" s="51"/>
      <c r="BA202" s="48"/>
      <c r="BB202" s="48"/>
      <c r="BC202" s="50"/>
      <c r="BD202" s="50"/>
      <c r="BP202" s="53"/>
      <c r="BQ202" s="52"/>
      <c r="BR202" s="54"/>
      <c r="BS202" s="50"/>
      <c r="BT202" s="55"/>
      <c r="BU202" s="55"/>
      <c r="BV202" s="51"/>
      <c r="BW202" s="51"/>
      <c r="BX202" s="51"/>
      <c r="BY202" s="48"/>
      <c r="BZ202" s="48"/>
      <c r="CA202" s="50"/>
      <c r="CB202" s="52"/>
      <c r="CC202" s="54"/>
      <c r="CD202" s="50"/>
      <c r="CE202" s="55"/>
      <c r="CF202" s="55"/>
      <c r="CG202" s="51"/>
      <c r="CH202" s="51"/>
      <c r="CI202" s="51"/>
      <c r="CJ202" s="48"/>
      <c r="CK202" s="48"/>
      <c r="CL202" s="50"/>
      <c r="CM202" s="52"/>
      <c r="CN202" s="54"/>
      <c r="CO202" s="50"/>
      <c r="CP202" s="55"/>
      <c r="CQ202" s="55"/>
      <c r="CR202" s="51"/>
      <c r="CS202" s="51"/>
      <c r="CT202" s="51"/>
      <c r="CU202" s="48"/>
      <c r="CV202" s="48"/>
      <c r="CW202" s="50"/>
      <c r="CX202" s="50"/>
      <c r="CY202" s="54"/>
      <c r="CZ202" s="50"/>
      <c r="DA202" s="55"/>
      <c r="DB202" s="55"/>
      <c r="DC202" s="50"/>
      <c r="DD202" s="51"/>
      <c r="DE202" s="51"/>
      <c r="DF202" s="48"/>
      <c r="DG202" s="48"/>
      <c r="DH202" s="50"/>
      <c r="DI202" s="52"/>
    </row>
    <row r="203" spans="10:113" ht="15.75" thickBot="1" x14ac:dyDescent="0.3">
      <c r="J203" s="517"/>
      <c r="K203" s="53"/>
      <c r="L203" s="52"/>
      <c r="M203" s="62"/>
      <c r="N203" s="65"/>
      <c r="O203" s="65"/>
      <c r="P203" s="65"/>
      <c r="Q203" s="65"/>
      <c r="R203" s="65"/>
      <c r="S203" s="62"/>
      <c r="T203" s="65"/>
      <c r="U203" s="65"/>
      <c r="V203" s="65"/>
      <c r="W203" s="65"/>
      <c r="X203" s="61"/>
      <c r="AB203" s="51"/>
      <c r="AC203" s="51"/>
      <c r="AD203" s="51"/>
      <c r="AE203" s="48"/>
      <c r="AF203" s="48"/>
      <c r="AG203" s="50"/>
      <c r="AH203" s="50"/>
      <c r="AI203" s="51"/>
      <c r="AJ203" s="50"/>
      <c r="AK203" s="55"/>
      <c r="AL203" s="55"/>
      <c r="AM203" s="51"/>
      <c r="AN203" s="51"/>
      <c r="AO203" s="51"/>
      <c r="AP203" s="48"/>
      <c r="AQ203" s="48"/>
      <c r="AR203" s="50"/>
      <c r="AS203" s="50"/>
      <c r="AT203" s="51"/>
      <c r="AU203" s="50"/>
      <c r="AV203" s="55"/>
      <c r="AW203" s="55"/>
      <c r="AX203" s="50"/>
      <c r="AY203" s="51"/>
      <c r="AZ203" s="51"/>
      <c r="BA203" s="48"/>
      <c r="BB203" s="48"/>
      <c r="BC203" s="50"/>
      <c r="BD203" s="50"/>
      <c r="BP203" s="53"/>
      <c r="BQ203" s="52"/>
      <c r="BR203" s="54"/>
      <c r="BS203" s="50"/>
      <c r="BT203" s="55"/>
      <c r="BU203" s="55"/>
      <c r="BV203" s="51"/>
      <c r="BW203" s="51"/>
      <c r="BX203" s="51"/>
      <c r="BY203" s="48"/>
      <c r="BZ203" s="48"/>
      <c r="CA203" s="50"/>
      <c r="CB203" s="52"/>
      <c r="CC203" s="54"/>
      <c r="CD203" s="50"/>
      <c r="CE203" s="55"/>
      <c r="CF203" s="55"/>
      <c r="CG203" s="51"/>
      <c r="CH203" s="51"/>
      <c r="CI203" s="51"/>
      <c r="CJ203" s="48"/>
      <c r="CK203" s="48"/>
      <c r="CL203" s="50"/>
      <c r="CM203" s="52"/>
      <c r="CN203" s="54"/>
      <c r="CO203" s="50"/>
      <c r="CP203" s="55"/>
      <c r="CQ203" s="55"/>
      <c r="CR203" s="51"/>
      <c r="CS203" s="51"/>
      <c r="CT203" s="51"/>
      <c r="CU203" s="48"/>
      <c r="CV203" s="48"/>
      <c r="CW203" s="50"/>
      <c r="CX203" s="50"/>
      <c r="CY203" s="54"/>
      <c r="CZ203" s="50"/>
      <c r="DA203" s="55"/>
      <c r="DB203" s="55"/>
      <c r="DC203" s="50"/>
      <c r="DD203" s="51"/>
      <c r="DE203" s="51"/>
      <c r="DF203" s="48"/>
      <c r="DG203" s="48"/>
      <c r="DH203" s="50"/>
      <c r="DI203" s="52"/>
    </row>
    <row r="204" spans="10:113" ht="15.75" thickBot="1" x14ac:dyDescent="0.3">
      <c r="K204" s="68" t="s">
        <v>145</v>
      </c>
      <c r="L204" s="505">
        <v>9</v>
      </c>
      <c r="M204" s="506" t="s">
        <v>275</v>
      </c>
      <c r="N204" s="507">
        <v>20</v>
      </c>
      <c r="O204" s="36" t="s">
        <v>735</v>
      </c>
      <c r="P204" s="513">
        <v>552.63381395242368</v>
      </c>
      <c r="Y204" s="50"/>
      <c r="Z204" s="50"/>
      <c r="AA204" s="55"/>
      <c r="AI204" s="50"/>
      <c r="AK204" s="50"/>
      <c r="AL204" s="55"/>
      <c r="AT204" s="50"/>
      <c r="BP204" s="62"/>
      <c r="BQ204" s="63"/>
      <c r="BR204" s="62"/>
      <c r="BS204" s="65"/>
      <c r="BT204" s="64"/>
      <c r="BU204" s="58"/>
      <c r="BV204" s="58"/>
      <c r="BW204" s="58"/>
      <c r="BX204" s="58"/>
      <c r="BY204" s="58"/>
      <c r="BZ204" s="58"/>
      <c r="CA204" s="58"/>
      <c r="CB204" s="61"/>
      <c r="CC204" s="62"/>
      <c r="CD204" s="65"/>
      <c r="CE204" s="64"/>
      <c r="CF204" s="58"/>
      <c r="CG204" s="58"/>
      <c r="CH204" s="58"/>
      <c r="CI204" s="58"/>
      <c r="CJ204" s="58"/>
      <c r="CK204" s="58"/>
      <c r="CL204" s="58"/>
      <c r="CM204" s="61"/>
      <c r="CN204" s="62"/>
      <c r="CO204" s="58"/>
      <c r="CP204" s="65"/>
      <c r="CQ204" s="64"/>
      <c r="CR204" s="58"/>
      <c r="CS204" s="58"/>
      <c r="CT204" s="58"/>
      <c r="CU204" s="58"/>
      <c r="CV204" s="58"/>
      <c r="CW204" s="58"/>
      <c r="CX204" s="58"/>
      <c r="CY204" s="62"/>
      <c r="CZ204" s="58"/>
      <c r="DA204" s="58"/>
      <c r="DB204" s="58"/>
      <c r="DC204" s="58"/>
      <c r="DD204" s="58"/>
      <c r="DE204" s="58"/>
      <c r="DF204" s="58"/>
      <c r="DG204" s="58"/>
      <c r="DH204" s="58"/>
      <c r="DI204" s="61"/>
    </row>
    <row r="205" spans="10:113" x14ac:dyDescent="0.25">
      <c r="K205" s="75" t="s">
        <v>144</v>
      </c>
      <c r="L205" s="22">
        <v>0.72</v>
      </c>
      <c r="M205" s="80" t="s">
        <v>771</v>
      </c>
      <c r="N205" s="508">
        <v>0.59</v>
      </c>
      <c r="O205" s="68" t="s">
        <v>780</v>
      </c>
      <c r="P205" s="507" t="b">
        <v>1</v>
      </c>
      <c r="U205" s="22"/>
      <c r="V205" s="22"/>
      <c r="Y205" s="22"/>
      <c r="Z205" s="28"/>
      <c r="AA205" s="48"/>
      <c r="AI205" s="22"/>
      <c r="AJ205" s="28"/>
      <c r="AK205" s="48"/>
      <c r="AT205" s="22"/>
      <c r="AU205" s="28"/>
      <c r="AV205" s="48"/>
      <c r="BP205" s="68" t="s">
        <v>144</v>
      </c>
      <c r="BQ205" s="73" t="e">
        <f>IF([0]!Casilla2,φe_H1_C1,VLOOKUP(Seccion1!provincia_C1,datos_humedad_julio[],$L$57+1,FALSE))</f>
        <v>#NAME?</v>
      </c>
      <c r="BR205" s="111"/>
      <c r="BS205" s="77" t="s">
        <v>160</v>
      </c>
      <c r="BT205" s="70"/>
      <c r="BU205" s="38"/>
      <c r="BV205" s="38"/>
      <c r="BW205" s="38"/>
      <c r="BX205" s="38"/>
      <c r="BY205" s="71"/>
      <c r="BZ205" s="71"/>
      <c r="CA205" s="38"/>
      <c r="CB205" s="72"/>
      <c r="CC205" s="111"/>
      <c r="CD205" s="77" t="s">
        <v>160</v>
      </c>
      <c r="CE205" s="67"/>
      <c r="CF205" s="38"/>
      <c r="CG205" s="38"/>
      <c r="CH205" s="38"/>
      <c r="CI205" s="38"/>
      <c r="CJ205" s="38"/>
      <c r="CK205" s="38"/>
      <c r="CL205" s="38"/>
      <c r="CM205" s="72"/>
      <c r="CN205" s="111"/>
      <c r="CO205" s="77" t="s">
        <v>160</v>
      </c>
      <c r="CP205" s="67"/>
      <c r="CQ205" s="38"/>
      <c r="CR205" s="38"/>
      <c r="CS205" s="38"/>
      <c r="CT205" s="38"/>
      <c r="CU205" s="38"/>
      <c r="CV205" s="38"/>
      <c r="CW205" s="38"/>
      <c r="CX205" s="38"/>
      <c r="CY205" s="111"/>
      <c r="CZ205" s="77" t="s">
        <v>160</v>
      </c>
      <c r="DA205" s="67"/>
      <c r="DB205" s="38"/>
      <c r="DC205" s="38"/>
      <c r="DD205" s="38"/>
      <c r="DE205" s="38"/>
      <c r="DF205" s="38"/>
      <c r="DG205" s="38"/>
      <c r="DH205" s="38"/>
      <c r="DI205" s="72"/>
    </row>
    <row r="206" spans="10:113" x14ac:dyDescent="0.25">
      <c r="K206" s="75" t="s">
        <v>108</v>
      </c>
      <c r="L206" s="79">
        <v>1147.4546679041084</v>
      </c>
      <c r="M206" s="80" t="s">
        <v>109</v>
      </c>
      <c r="N206" s="78">
        <v>2336.9511438023419</v>
      </c>
      <c r="O206" s="75" t="s">
        <v>782</v>
      </c>
      <c r="P206" s="508">
        <v>1</v>
      </c>
      <c r="U206" s="48"/>
      <c r="V206" s="48"/>
      <c r="Y206" s="82"/>
      <c r="Z206" s="80"/>
      <c r="AA206" s="48"/>
      <c r="AI206" s="82"/>
      <c r="AJ206" s="80"/>
      <c r="AK206" s="48"/>
      <c r="AT206" s="82"/>
      <c r="AU206" s="80"/>
      <c r="AV206" s="48"/>
      <c r="BP206" s="75" t="s">
        <v>145</v>
      </c>
      <c r="BQ206" s="76" t="e">
        <f>IF([0]!Casilla2,φe_H1_C1,VLOOKUP(Seccion1!provincia_C1,datos_temperatura_julio[],$L$57+1,FALSE))</f>
        <v>#NAME?</v>
      </c>
      <c r="BR206" s="112"/>
      <c r="BS206" s="80" t="s">
        <v>162</v>
      </c>
      <c r="BT206" s="17"/>
      <c r="BY206" s="48"/>
      <c r="BZ206" s="48"/>
      <c r="CB206" s="49"/>
      <c r="CC206" s="112"/>
      <c r="CD206" s="80" t="s">
        <v>162</v>
      </c>
      <c r="CE206" s="48"/>
      <c r="CM206" s="49"/>
      <c r="CN206" s="112"/>
      <c r="CO206" s="80" t="s">
        <v>162</v>
      </c>
      <c r="CP206" s="48"/>
      <c r="CY206" s="112"/>
      <c r="CZ206" s="80" t="s">
        <v>162</v>
      </c>
      <c r="DA206" s="48"/>
      <c r="DI206" s="49"/>
    </row>
    <row r="207" spans="10:113" ht="18.75" thickBot="1" x14ac:dyDescent="0.4">
      <c r="K207" s="486" t="s">
        <v>156</v>
      </c>
      <c r="L207" s="509">
        <v>826.16736089095798</v>
      </c>
      <c r="M207" s="115" t="s">
        <v>781</v>
      </c>
      <c r="N207" s="487">
        <v>1378.8011748433817</v>
      </c>
      <c r="O207" s="75" t="s">
        <v>161</v>
      </c>
      <c r="P207" s="508">
        <v>1.8329114974575091E-11</v>
      </c>
      <c r="Y207" s="79"/>
      <c r="Z207" s="80"/>
      <c r="AA207" s="79"/>
      <c r="AI207" s="79"/>
      <c r="AJ207" s="80"/>
      <c r="AK207" s="79"/>
      <c r="AT207" s="79"/>
      <c r="AU207" s="80"/>
      <c r="AV207" s="79"/>
      <c r="BP207" s="75" t="s">
        <v>108</v>
      </c>
      <c r="BQ207" s="78">
        <f ca="1">IF(ISNUMBER(ϴe_H3_C1),IF(ϴe_H3_C1&gt;=0,610.5*EXP((17.269*ϴe_H3_C1)/(237.3+ϴe_H3_C1)),610.5*EXP((21.875*ϴe_H3_C1)/(265.5+ϴe_H3_C1))),NA())</f>
        <v>871.86452524041533</v>
      </c>
      <c r="BR207" s="113"/>
      <c r="BS207" s="80" t="s">
        <v>125</v>
      </c>
      <c r="BT207" s="79"/>
      <c r="CB207" s="49"/>
      <c r="CC207" s="113"/>
      <c r="CD207" s="80" t="s">
        <v>125</v>
      </c>
      <c r="CE207" s="79"/>
      <c r="CM207" s="49"/>
      <c r="CN207" s="113"/>
      <c r="CO207" s="80" t="s">
        <v>125</v>
      </c>
      <c r="CP207" s="79"/>
      <c r="CY207" s="113"/>
      <c r="CZ207" s="80" t="s">
        <v>125</v>
      </c>
      <c r="DA207" s="79"/>
      <c r="DI207" s="49"/>
    </row>
    <row r="208" spans="10:113" ht="18" x14ac:dyDescent="0.35">
      <c r="K208" s="68" t="s">
        <v>779</v>
      </c>
      <c r="L208" s="70" t="b">
        <v>0</v>
      </c>
      <c r="M208" s="38"/>
      <c r="N208" s="72"/>
      <c r="O208" s="75" t="s">
        <v>628</v>
      </c>
      <c r="P208" s="49"/>
      <c r="Y208" s="79"/>
      <c r="Z208" s="80"/>
      <c r="AA208" s="82"/>
      <c r="AI208" s="79"/>
      <c r="AJ208" s="80"/>
      <c r="AK208" s="82"/>
      <c r="AT208" s="79"/>
      <c r="AU208" s="80"/>
      <c r="AV208" s="82"/>
      <c r="BP208" s="81" t="s">
        <v>109</v>
      </c>
      <c r="BQ208" s="78" t="e">
        <f>IF(ISNUMBER([0]!ϴi_C1),IF([0]!ϴi_C1&gt;=0,610.5*EXP((17.269*[0]!ϴi_C1)/(237.3+[0]!ϴi_C1)),610.5*EXP((21.875*[0]!ϴi_C1)/(265.5+[0]!ϴi_C1))),NA())</f>
        <v>#N/A</v>
      </c>
      <c r="BR208" s="113"/>
      <c r="BS208" s="80" t="s">
        <v>126</v>
      </c>
      <c r="BT208" s="82"/>
      <c r="CB208" s="49"/>
      <c r="CC208" s="113"/>
      <c r="CD208" s="80" t="s">
        <v>126</v>
      </c>
      <c r="CE208" s="82"/>
      <c r="CM208" s="49"/>
      <c r="CN208" s="113"/>
      <c r="CO208" s="80" t="s">
        <v>126</v>
      </c>
      <c r="CP208" s="82"/>
      <c r="CY208" s="113"/>
      <c r="CZ208" s="80" t="s">
        <v>126</v>
      </c>
      <c r="DA208" s="82"/>
      <c r="DI208" s="49"/>
    </row>
    <row r="209" spans="10:113" ht="18" x14ac:dyDescent="0.35">
      <c r="K209" s="75" t="s">
        <v>125</v>
      </c>
      <c r="L209" s="79">
        <v>1723.5014685542269</v>
      </c>
      <c r="M209" s="80" t="s">
        <v>126</v>
      </c>
      <c r="N209" s="76">
        <v>15.173170347496638</v>
      </c>
      <c r="O209" s="43"/>
      <c r="P209" s="49"/>
      <c r="Y209" s="79"/>
      <c r="Z209" s="80"/>
      <c r="AA209" s="83"/>
      <c r="AI209" s="79"/>
      <c r="AJ209" s="80"/>
      <c r="AK209" s="83"/>
      <c r="AT209" s="79"/>
      <c r="AU209" s="80"/>
      <c r="AV209" s="83"/>
      <c r="BP209" s="75" t="s">
        <v>156</v>
      </c>
      <c r="BQ209" s="78">
        <f ca="1">P_sat_e_VN_C1*φe_H3_C1</f>
        <v>767.24078221156549</v>
      </c>
      <c r="BR209" s="113"/>
      <c r="BS209" s="80" t="s">
        <v>127</v>
      </c>
      <c r="BT209" s="83"/>
      <c r="CB209" s="49"/>
      <c r="CC209" s="113"/>
      <c r="CD209" s="80" t="s">
        <v>127</v>
      </c>
      <c r="CE209" s="83"/>
      <c r="CM209" s="49"/>
      <c r="CN209" s="113"/>
      <c r="CO209" s="80" t="s">
        <v>127</v>
      </c>
      <c r="CP209" s="83"/>
      <c r="CY209" s="113"/>
      <c r="CZ209" s="80" t="s">
        <v>127</v>
      </c>
      <c r="DA209" s="83"/>
      <c r="DI209" s="49"/>
    </row>
    <row r="210" spans="10:113" ht="18.75" thickBot="1" x14ac:dyDescent="0.4">
      <c r="K210" s="486" t="s">
        <v>127</v>
      </c>
      <c r="L210" s="512">
        <v>0.56119730431787618</v>
      </c>
      <c r="M210" s="115" t="s">
        <v>122</v>
      </c>
      <c r="N210" s="510">
        <v>0.29626071416428634</v>
      </c>
      <c r="O210" s="57"/>
      <c r="P210" s="61"/>
      <c r="Y210" s="22"/>
      <c r="Z210" s="80"/>
      <c r="AA210" s="22"/>
      <c r="AI210" s="22"/>
      <c r="AJ210" s="80"/>
      <c r="AK210" s="22"/>
      <c r="AT210" s="22"/>
      <c r="AU210" s="80"/>
      <c r="AV210" s="22"/>
      <c r="BP210" s="75"/>
      <c r="BR210" s="114"/>
      <c r="BS210" s="80" t="s">
        <v>122</v>
      </c>
      <c r="BT210" s="22"/>
      <c r="CB210" s="49"/>
      <c r="CC210" s="114"/>
      <c r="CD210" s="80" t="s">
        <v>122</v>
      </c>
      <c r="CE210" s="22"/>
      <c r="CM210" s="49"/>
      <c r="CN210" s="114"/>
      <c r="CO210" s="80" t="s">
        <v>122</v>
      </c>
      <c r="CP210" s="22"/>
      <c r="CY210" s="114"/>
      <c r="CZ210" s="80" t="s">
        <v>122</v>
      </c>
      <c r="DA210" s="22"/>
      <c r="DI210" s="49"/>
    </row>
    <row r="211" spans="10:113" x14ac:dyDescent="0.25">
      <c r="K211" s="80"/>
      <c r="N211" s="28"/>
      <c r="O211" s="17"/>
      <c r="Z211" s="28"/>
      <c r="AA211" s="17"/>
      <c r="AJ211" s="28"/>
      <c r="AK211" s="17"/>
      <c r="AU211" s="28"/>
      <c r="AV211" s="17"/>
      <c r="BP211" s="43"/>
      <c r="BQ211" s="49"/>
      <c r="BR211" s="43"/>
      <c r="BS211" s="28" t="s">
        <v>159</v>
      </c>
      <c r="BT211" s="17"/>
      <c r="CB211" s="49"/>
      <c r="CC211" s="43"/>
      <c r="CD211" s="28" t="s">
        <v>159</v>
      </c>
      <c r="CE211" s="17"/>
      <c r="CM211" s="49"/>
      <c r="CN211" s="43"/>
      <c r="CO211" s="28" t="s">
        <v>159</v>
      </c>
      <c r="CP211" s="17"/>
      <c r="CY211" s="43"/>
      <c r="CZ211" s="28" t="s">
        <v>159</v>
      </c>
      <c r="DA211" s="17"/>
      <c r="DI211" s="49"/>
    </row>
    <row r="212" spans="10:113" ht="15.75" thickBot="1" x14ac:dyDescent="0.3">
      <c r="K212" s="80"/>
      <c r="N212" s="80"/>
      <c r="Z212" s="80"/>
      <c r="AA212" s="17"/>
      <c r="AJ212" s="80"/>
      <c r="AK212" s="17"/>
      <c r="AU212" s="80"/>
      <c r="AV212" s="17"/>
      <c r="BP212" s="57"/>
      <c r="BQ212" s="61"/>
      <c r="BR212" s="57"/>
      <c r="BS212" s="115" t="s">
        <v>161</v>
      </c>
      <c r="BT212" s="58"/>
      <c r="BU212" s="58"/>
      <c r="BV212" s="58"/>
      <c r="BW212" s="58"/>
      <c r="BX212" s="58"/>
      <c r="BY212" s="58"/>
      <c r="BZ212" s="58"/>
      <c r="CA212" s="58"/>
      <c r="CB212" s="61"/>
      <c r="CC212" s="57"/>
      <c r="CD212" s="115" t="s">
        <v>161</v>
      </c>
      <c r="CE212" s="84"/>
      <c r="CF212" s="58"/>
      <c r="CG212" s="58"/>
      <c r="CH212" s="58"/>
      <c r="CI212" s="58"/>
      <c r="CJ212" s="58"/>
      <c r="CK212" s="58"/>
      <c r="CL212" s="58"/>
      <c r="CM212" s="61"/>
      <c r="CN212" s="57"/>
      <c r="CO212" s="115" t="s">
        <v>161</v>
      </c>
      <c r="CP212" s="84"/>
      <c r="CQ212" s="58"/>
      <c r="CR212" s="58"/>
      <c r="CS212" s="58"/>
      <c r="CT212" s="58"/>
      <c r="CU212" s="58"/>
      <c r="CV212" s="58"/>
      <c r="CW212" s="58"/>
      <c r="CX212" s="58"/>
      <c r="CY212" s="57"/>
      <c r="CZ212" s="115" t="s">
        <v>161</v>
      </c>
      <c r="DA212" s="84"/>
      <c r="DB212" s="58"/>
      <c r="DC212" s="58"/>
      <c r="DD212" s="58"/>
      <c r="DE212" s="58"/>
      <c r="DF212" s="58"/>
      <c r="DG212" s="58"/>
      <c r="DH212" s="58"/>
      <c r="DI212" s="61"/>
    </row>
    <row r="213" spans="10:113" ht="15.75" thickBot="1" x14ac:dyDescent="0.3">
      <c r="K213" s="516" t="s">
        <v>179</v>
      </c>
      <c r="L213" s="30">
        <v>5</v>
      </c>
      <c r="M213" s="110" t="str">
        <f>VLOOKUP(L213,Aux!$AL$72:$AM$83,2,FALSE)</f>
        <v>Mayo</v>
      </c>
      <c r="N213" s="32"/>
      <c r="O213" s="32"/>
      <c r="P213" s="32"/>
      <c r="Q213" s="540"/>
      <c r="R213" s="32"/>
      <c r="S213" s="32"/>
      <c r="T213" s="32"/>
      <c r="U213" s="32"/>
      <c r="V213" s="32"/>
      <c r="W213" s="32"/>
      <c r="X213" s="32"/>
      <c r="Y213" s="32"/>
      <c r="Z213" s="32"/>
      <c r="AA213" s="33"/>
    </row>
    <row r="214" spans="10:113" ht="15.75" thickBot="1" x14ac:dyDescent="0.3">
      <c r="K214" s="42" t="s">
        <v>120</v>
      </c>
      <c r="L214" s="41" t="s">
        <v>121</v>
      </c>
      <c r="M214" s="515" t="s">
        <v>265</v>
      </c>
      <c r="N214" s="35" t="s">
        <v>146</v>
      </c>
      <c r="O214" s="35" t="s">
        <v>806</v>
      </c>
      <c r="P214" s="35" t="s">
        <v>167</v>
      </c>
      <c r="Q214" s="35" t="s">
        <v>807</v>
      </c>
      <c r="R214" s="35" t="s">
        <v>783</v>
      </c>
      <c r="S214" s="532" t="s">
        <v>170</v>
      </c>
      <c r="T214" s="40" t="s">
        <v>178</v>
      </c>
      <c r="U214" s="40" t="s">
        <v>169</v>
      </c>
      <c r="V214" s="40" t="s">
        <v>168</v>
      </c>
      <c r="W214" s="40" t="s">
        <v>175</v>
      </c>
      <c r="X214" s="41" t="s">
        <v>176</v>
      </c>
      <c r="AB214" s="80"/>
      <c r="AG214" s="80"/>
      <c r="AH214" s="17"/>
      <c r="AI214" s="17"/>
      <c r="AJ214" s="80"/>
      <c r="AK214" s="22"/>
      <c r="AM214" s="80"/>
      <c r="AN214" s="80"/>
      <c r="AO214" s="80"/>
      <c r="AP214" s="80"/>
      <c r="AQ214" s="80"/>
      <c r="AR214" s="80"/>
      <c r="AS214" s="17"/>
      <c r="AT214" s="17"/>
      <c r="AU214" s="80"/>
      <c r="AV214" s="22"/>
      <c r="AX214" s="80"/>
      <c r="AY214" s="80"/>
      <c r="AZ214" s="80"/>
      <c r="BA214" s="80"/>
      <c r="BB214" s="80"/>
      <c r="BC214" s="80"/>
      <c r="BD214" s="17"/>
      <c r="BP214" s="29" t="s">
        <v>179</v>
      </c>
      <c r="BQ214" s="30">
        <v>6</v>
      </c>
      <c r="BR214" s="110"/>
      <c r="BS214" s="34" t="s">
        <v>163</v>
      </c>
      <c r="BT214" s="31">
        <f ca="1">P_sat_i_VN_C1*VLOOKUP(1,φi[],2,FALSE)</f>
        <v>1519.0182434715223</v>
      </c>
      <c r="BU214" s="32"/>
      <c r="BV214" s="32"/>
      <c r="BW214" s="32"/>
      <c r="BX214" s="32"/>
      <c r="BY214" s="32"/>
      <c r="BZ214" s="32"/>
      <c r="CA214" s="34" t="s">
        <v>267</v>
      </c>
      <c r="CB214" s="30">
        <f>VLOOKUP(1,φi[],2,FALSE)</f>
        <v>0.65</v>
      </c>
      <c r="CC214" s="110"/>
      <c r="CD214" s="34" t="s">
        <v>164</v>
      </c>
      <c r="CE214" s="31">
        <f ca="1">P_sat_i_VN_C1*VLOOKUP(2,φi[],2,FALSE)</f>
        <v>1752.7133578517564</v>
      </c>
      <c r="CF214" s="34"/>
      <c r="CG214" s="34"/>
      <c r="CH214" s="32"/>
      <c r="CI214" s="32"/>
      <c r="CJ214" s="32"/>
      <c r="CK214" s="32"/>
      <c r="CL214" s="34" t="s">
        <v>268</v>
      </c>
      <c r="CM214" s="30">
        <f>VLOOKUP(2,φi[],2,FALSE)</f>
        <v>0.75</v>
      </c>
      <c r="CN214" s="110"/>
      <c r="CO214" s="34" t="s">
        <v>165</v>
      </c>
      <c r="CP214" s="31">
        <f ca="1">P_sat_i_VN_C1*VLOOKUP(3,φi[],2,FALSE)</f>
        <v>1869.5609150418736</v>
      </c>
      <c r="CQ214" s="32"/>
      <c r="CR214" s="34"/>
      <c r="CS214" s="34"/>
      <c r="CT214" s="34"/>
      <c r="CU214" s="34"/>
      <c r="CV214" s="34"/>
      <c r="CW214" s="34" t="s">
        <v>269</v>
      </c>
      <c r="CX214" s="116">
        <f>VLOOKUP(3,φi[],2,FALSE)</f>
        <v>0.8</v>
      </c>
      <c r="CY214" s="110"/>
      <c r="CZ214" s="34" t="s">
        <v>166</v>
      </c>
      <c r="DA214" s="31">
        <f ca="1">P_sat_i_VN_C1*Seccion1!φi_C1</f>
        <v>747.82436601674965</v>
      </c>
      <c r="DB214" s="32"/>
      <c r="DC214" s="34"/>
      <c r="DD214" s="34"/>
      <c r="DE214" s="34"/>
      <c r="DF214" s="34"/>
      <c r="DG214" s="34"/>
      <c r="DH214" s="34" t="s">
        <v>154</v>
      </c>
      <c r="DI214" s="30"/>
    </row>
    <row r="215" spans="10:113" x14ac:dyDescent="0.25">
      <c r="J215" s="517"/>
      <c r="K215" s="46">
        <v>14</v>
      </c>
      <c r="L215" s="47">
        <v>1597.7306774994004</v>
      </c>
      <c r="M215" s="54"/>
      <c r="N215" s="44" t="s">
        <v>107</v>
      </c>
      <c r="O215" s="44" t="e">
        <v>#N/A</v>
      </c>
      <c r="P215" s="15" t="e">
        <v>#N/A</v>
      </c>
      <c r="Q215" s="541"/>
      <c r="R215" s="44"/>
      <c r="S215" s="533"/>
      <c r="T215" s="44"/>
      <c r="U215" s="44"/>
      <c r="V215" s="44"/>
      <c r="W215" s="44"/>
      <c r="X215" s="531"/>
      <c r="AB215" s="35"/>
      <c r="AC215" s="35"/>
      <c r="AD215" s="35"/>
      <c r="AE215" s="35"/>
      <c r="AF215" s="35"/>
      <c r="AG215" s="35"/>
      <c r="AH215" s="35"/>
      <c r="AI215" s="511"/>
      <c r="AJ215" s="35"/>
      <c r="AK215" s="35"/>
      <c r="AL215" s="35"/>
      <c r="AM215" s="35"/>
      <c r="AN215" s="35"/>
      <c r="AO215" s="35"/>
      <c r="AP215" s="35"/>
      <c r="AQ215" s="35"/>
      <c r="AR215" s="35"/>
      <c r="AS215" s="35"/>
      <c r="AT215" s="511"/>
      <c r="AU215" s="35"/>
      <c r="AV215" s="35"/>
      <c r="AW215" s="35"/>
      <c r="AX215" s="35"/>
      <c r="AY215" s="35"/>
      <c r="AZ215" s="35"/>
      <c r="BA215" s="35"/>
      <c r="BB215" s="35"/>
      <c r="BC215" s="35"/>
      <c r="BD215" s="35"/>
      <c r="BP215" s="42" t="s">
        <v>120</v>
      </c>
      <c r="BQ215" s="41" t="s">
        <v>121</v>
      </c>
      <c r="BR215" s="42" t="s">
        <v>265</v>
      </c>
      <c r="BS215" s="40" t="s">
        <v>146</v>
      </c>
      <c r="BT215" s="40" t="s">
        <v>147</v>
      </c>
      <c r="BU215" s="40" t="s">
        <v>170</v>
      </c>
      <c r="BV215" s="40" t="s">
        <v>178</v>
      </c>
      <c r="BW215" s="40" t="s">
        <v>169</v>
      </c>
      <c r="BX215" s="40" t="s">
        <v>168</v>
      </c>
      <c r="BY215" s="40" t="s">
        <v>175</v>
      </c>
      <c r="BZ215" s="40" t="s">
        <v>176</v>
      </c>
      <c r="CA215" s="40" t="s">
        <v>167</v>
      </c>
      <c r="CB215" s="41" t="s">
        <v>266</v>
      </c>
      <c r="CC215" s="42" t="s">
        <v>265</v>
      </c>
      <c r="CD215" s="40" t="s">
        <v>148</v>
      </c>
      <c r="CE215" s="40" t="s">
        <v>149</v>
      </c>
      <c r="CF215" s="40" t="s">
        <v>170</v>
      </c>
      <c r="CG215" s="40" t="s">
        <v>178</v>
      </c>
      <c r="CH215" s="40" t="s">
        <v>169</v>
      </c>
      <c r="CI215" s="40" t="s">
        <v>168</v>
      </c>
      <c r="CJ215" s="40" t="s">
        <v>175</v>
      </c>
      <c r="CK215" s="40" t="s">
        <v>176</v>
      </c>
      <c r="CL215" s="40" t="s">
        <v>171</v>
      </c>
      <c r="CM215" s="41" t="s">
        <v>266</v>
      </c>
      <c r="CN215" s="42" t="s">
        <v>265</v>
      </c>
      <c r="CO215" s="40" t="s">
        <v>150</v>
      </c>
      <c r="CP215" s="40" t="s">
        <v>151</v>
      </c>
      <c r="CQ215" s="40" t="s">
        <v>170</v>
      </c>
      <c r="CR215" s="40" t="s">
        <v>178</v>
      </c>
      <c r="CS215" s="40" t="s">
        <v>169</v>
      </c>
      <c r="CT215" s="40" t="s">
        <v>168</v>
      </c>
      <c r="CU215" s="40" t="s">
        <v>175</v>
      </c>
      <c r="CV215" s="40" t="s">
        <v>176</v>
      </c>
      <c r="CW215" s="40" t="s">
        <v>172</v>
      </c>
      <c r="CX215" s="41" t="s">
        <v>266</v>
      </c>
      <c r="CY215" s="42" t="s">
        <v>265</v>
      </c>
      <c r="CZ215" s="40" t="s">
        <v>152</v>
      </c>
      <c r="DA215" s="40" t="s">
        <v>153</v>
      </c>
      <c r="DB215" s="40" t="s">
        <v>170</v>
      </c>
      <c r="DC215" s="40" t="s">
        <v>178</v>
      </c>
      <c r="DD215" s="40" t="s">
        <v>169</v>
      </c>
      <c r="DE215" s="40" t="s">
        <v>168</v>
      </c>
      <c r="DF215" s="40" t="s">
        <v>175</v>
      </c>
      <c r="DG215" s="40" t="s">
        <v>176</v>
      </c>
      <c r="DH215" s="40" t="s">
        <v>177</v>
      </c>
      <c r="DI215" s="41" t="s">
        <v>266</v>
      </c>
    </row>
    <row r="216" spans="10:113" x14ac:dyDescent="0.25">
      <c r="J216" s="517"/>
      <c r="K216" s="53">
        <v>14.046276211135213</v>
      </c>
      <c r="L216" s="47">
        <v>1602.5347932355219</v>
      </c>
      <c r="M216" s="54">
        <v>8.2141360178979603</v>
      </c>
      <c r="N216" s="50">
        <v>1086.4568606995924</v>
      </c>
      <c r="O216" s="55">
        <v>0</v>
      </c>
      <c r="P216" s="50">
        <f ca="1">IF(ISNA(T216),
_xlfn.FORECAST.LINEAR($J60,INDIRECT(W216),INDIRECT(X216)),T216)</f>
        <v>1086.4568606995924</v>
      </c>
      <c r="Q216" s="514"/>
      <c r="R216" s="50"/>
      <c r="S216" s="535" cm="1">
        <f t="array" ref="S216">SUM(IF(ISNUMBER(T$216:T216),1,0))+IF($J216&gt;Capas_VN_C1,1,0)</f>
        <v>1</v>
      </c>
      <c r="T216" s="50">
        <f>IF(O216=1,$L216,L233)</f>
        <v>1086.4568606995924</v>
      </c>
      <c r="U216" s="50">
        <f t="shared" ref="U216:U228" si="237">VLOOKUP($J217,$S$216:$T$228,2,FALSE)</f>
        <v>1086.4568606995924</v>
      </c>
      <c r="V216" s="50">
        <f t="shared" ref="V216:V228" si="238">INDEX($J$60:$J$72,MATCH(U216,T$216:T$228,0))</f>
        <v>0</v>
      </c>
      <c r="W216" s="50" t="str">
        <f t="shared" ref="W216:W228" si="239">CONCATENATE(ADDRESS(ROW(U$216)-1+S216,COLUMN(U$216)),":",ADDRESS(ROW(U$216)+S216,COLUMN(U$216)))</f>
        <v>$U$216:$U$217</v>
      </c>
      <c r="X216" s="214" t="str">
        <f t="shared" ref="X216:X228" si="240">CONCATENATE(ADDRESS(ROW(V$216)-1+S216,COLUMN(V$216)),":",ADDRESS(ROW(V$216)+S216,COLUMN(V$216)))</f>
        <v>$V$216:$V$217</v>
      </c>
      <c r="AC216" s="48"/>
      <c r="AD216" s="48"/>
      <c r="AE216" s="48"/>
      <c r="AF216" s="48"/>
      <c r="AI216" s="51"/>
      <c r="AJ216" s="44"/>
      <c r="AK216" s="44"/>
      <c r="AN216" s="48"/>
      <c r="AO216" s="48"/>
      <c r="AP216" s="48"/>
      <c r="AQ216" s="48"/>
      <c r="AT216" s="51"/>
      <c r="AU216" s="44"/>
      <c r="AV216" s="44"/>
      <c r="AY216" s="48"/>
      <c r="AZ216" s="48"/>
      <c r="BA216" s="48"/>
      <c r="BB216" s="48"/>
      <c r="BP216" s="46"/>
      <c r="BQ216" s="52"/>
      <c r="BR216" s="54"/>
      <c r="BS216" s="44"/>
      <c r="BT216" s="44"/>
      <c r="BW216" s="48"/>
      <c r="BX216" s="48"/>
      <c r="BY216" s="48"/>
      <c r="BZ216" s="48"/>
      <c r="CB216" s="49"/>
      <c r="CC216" s="54"/>
      <c r="CD216" s="44"/>
      <c r="CE216" s="44"/>
      <c r="CH216" s="48"/>
      <c r="CI216" s="48"/>
      <c r="CJ216" s="48"/>
      <c r="CK216" s="48"/>
      <c r="CM216" s="49"/>
      <c r="CN216" s="54"/>
      <c r="CO216" s="44"/>
      <c r="CP216" s="44"/>
      <c r="CS216" s="48"/>
      <c r="CT216" s="48"/>
      <c r="CU216" s="48"/>
      <c r="CV216" s="48"/>
      <c r="CY216" s="54"/>
      <c r="CZ216" s="44"/>
      <c r="DA216" s="44"/>
      <c r="DD216" s="48"/>
      <c r="DE216" s="48"/>
      <c r="DF216" s="48"/>
      <c r="DG216" s="48"/>
      <c r="DI216" s="49"/>
    </row>
    <row r="217" spans="10:113" x14ac:dyDescent="0.25">
      <c r="J217" s="15">
        <v>1</v>
      </c>
      <c r="K217" s="53">
        <v>14.10412147505423</v>
      </c>
      <c r="L217" s="47">
        <v>1608.5577563572031</v>
      </c>
      <c r="M217" s="54">
        <v>13.924631987755845</v>
      </c>
      <c r="N217" s="50">
        <v>1587.8436615729695</v>
      </c>
      <c r="O217" s="55">
        <f t="array" aca="1" ref="O217:O228" ca="1">IF((N217:N228&gt;=L217:L228)+(R191:R202&gt;0),1,0)</f>
        <v>1</v>
      </c>
      <c r="P217" s="50">
        <f t="shared" ref="P217:P228" ca="1" si="241">IF(ISNA(T217),
_xlfn.FORECAST.LINEAR($J61,INDIRECT(W217),INDIRECT(X217)),T217)</f>
        <v>1608.5577563572031</v>
      </c>
      <c r="Q217" s="534">
        <f ca="1">IF(O217=1,δ_0*(SLOPE(INDIRECT(VLOOKUP(S217,$S$216:$X$228,5,FALSE)),INDIRECT(VLOOKUP(S217,$S$216:$X$228,6,FALSE)))-SLOPE(INDIRECT(VLOOKUP(S217-1,$S$216:$X$228,5,FALSE)),INDIRECT(VLOOKUP(S217-1,$S$216:$X$228,6,FALSE)))),0)*86400*VLOOKUP($L$213,Aux!$AL$72:$AN$83,3,FALSE)</f>
        <v>-1.2990908454953829E-5</v>
      </c>
      <c r="R217" s="534">
        <f ca="1">IFERROR(IF(Q217+R191&lt;0,0,Q217+R191),0)</f>
        <v>1.0750319574974008E-3</v>
      </c>
      <c r="S217" s="535" cm="1">
        <f t="array" aca="1" ref="S217" ca="1">SUM(IF(ISNUMBER(T$216:T217),1,0))+IF($J217&gt;Capas_VN_C1,1,0)</f>
        <v>2</v>
      </c>
      <c r="T217" s="50">
        <f t="shared" ref="T217:T228" ca="1" si="242">IF(O217=1,$L217,IF(J217=Capas_VN_C1,$N$233,NA()))</f>
        <v>1608.5577563572031</v>
      </c>
      <c r="U217" s="50">
        <f t="shared" ca="1" si="237"/>
        <v>1608.5577563572031</v>
      </c>
      <c r="V217" s="50">
        <f t="shared" ca="1" si="238"/>
        <v>5000</v>
      </c>
      <c r="W217" s="50" t="str">
        <f t="shared" ca="1" si="239"/>
        <v>$U$217:$U$218</v>
      </c>
      <c r="X217" s="214" t="str">
        <f t="shared" ca="1" si="240"/>
        <v>$V$217:$V$218</v>
      </c>
      <c r="AB217" s="51"/>
      <c r="AC217" s="51"/>
      <c r="AD217" s="51"/>
      <c r="AE217" s="48"/>
      <c r="AF217" s="48"/>
      <c r="AG217" s="50"/>
      <c r="AH217" s="50"/>
      <c r="AI217" s="51"/>
      <c r="AJ217" s="50"/>
      <c r="AK217" s="55"/>
      <c r="AL217" s="55"/>
      <c r="AM217" s="51"/>
      <c r="AN217" s="51"/>
      <c r="AO217" s="51"/>
      <c r="AP217" s="48"/>
      <c r="AQ217" s="48"/>
      <c r="AR217" s="50"/>
      <c r="AS217" s="50"/>
      <c r="AT217" s="51"/>
      <c r="AU217" s="50"/>
      <c r="AV217" s="55"/>
      <c r="AW217" s="55"/>
      <c r="AX217" s="50"/>
      <c r="AY217" s="51"/>
      <c r="AZ217" s="51"/>
      <c r="BA217" s="48"/>
      <c r="BB217" s="48"/>
      <c r="BC217" s="50"/>
      <c r="BD217" s="50"/>
      <c r="BP217" s="53"/>
      <c r="BQ217" s="52"/>
      <c r="BR217" s="54"/>
      <c r="BS217" s="50"/>
      <c r="BT217" s="55"/>
      <c r="BU217" s="55"/>
      <c r="BV217" s="51"/>
      <c r="BW217" s="51"/>
      <c r="BX217" s="51"/>
      <c r="BY217" s="48"/>
      <c r="BZ217" s="48"/>
      <c r="CA217" s="50"/>
      <c r="CB217" s="52"/>
      <c r="CC217" s="54"/>
      <c r="CD217" s="50"/>
      <c r="CE217" s="55"/>
      <c r="CF217" s="55"/>
      <c r="CG217" s="51"/>
      <c r="CH217" s="51"/>
      <c r="CI217" s="51"/>
      <c r="CJ217" s="48"/>
      <c r="CK217" s="48"/>
      <c r="CL217" s="50"/>
      <c r="CM217" s="52"/>
      <c r="CN217" s="54"/>
      <c r="CO217" s="50"/>
      <c r="CP217" s="55"/>
      <c r="CQ217" s="55"/>
      <c r="CR217" s="51"/>
      <c r="CS217" s="51"/>
      <c r="CT217" s="51"/>
      <c r="CU217" s="48"/>
      <c r="CV217" s="48"/>
      <c r="CW217" s="50"/>
      <c r="CX217" s="50"/>
      <c r="CY217" s="54"/>
      <c r="CZ217" s="50"/>
      <c r="DA217" s="55"/>
      <c r="DB217" s="55"/>
      <c r="DC217" s="50"/>
      <c r="DD217" s="51"/>
      <c r="DE217" s="51"/>
      <c r="DF217" s="48"/>
      <c r="DG217" s="48"/>
      <c r="DH217" s="50"/>
      <c r="DI217" s="52"/>
    </row>
    <row r="218" spans="10:113" x14ac:dyDescent="0.25">
      <c r="J218" s="15">
        <v>2</v>
      </c>
      <c r="K218" s="53">
        <v>17.574837310195228</v>
      </c>
      <c r="L218" s="47">
        <v>2008.3290160130894</v>
      </c>
      <c r="M218" s="54">
        <v>13.939185374677757</v>
      </c>
      <c r="N218" s="50">
        <v>1589.3478219755898</v>
      </c>
      <c r="O218" s="55">
        <f ca="1"/>
        <v>0</v>
      </c>
      <c r="P218" s="50">
        <f t="shared" ca="1" si="241"/>
        <v>1609.7602903262393</v>
      </c>
      <c r="Q218" s="534">
        <f ca="1">IF(O218=1,δ_0*(SLOPE(INDIRECT(VLOOKUP(S218,$S$216:$X$228,5,FALSE)),INDIRECT(VLOOKUP(S218,$S$216:$X$228,6,FALSE)))-SLOPE(INDIRECT(VLOOKUP(S218-1,$S$216:$X$228,5,FALSE)),INDIRECT(VLOOKUP(S218-1,$S$216:$X$228,6,FALSE)))),0)*86400*VLOOKUP($L$213,Aux!$AL$72:$AN$83,3,FALSE)</f>
        <v>0</v>
      </c>
      <c r="R218" s="534">
        <f t="shared" ref="R218:R228" ca="1" si="243">IFERROR(IF(Q218+R192&lt;0,0,Q218+R192),0)</f>
        <v>0</v>
      </c>
      <c r="S218" s="535" cm="1">
        <f t="array" aca="1" ref="S218" ca="1">SUM(IF(ISNUMBER(T$216:T218),1,0))+IF($J218&gt;Capas_VN_C1,1,0)</f>
        <v>2</v>
      </c>
      <c r="T218" s="50" t="e">
        <f t="shared" ca="1" si="242"/>
        <v>#N/A</v>
      </c>
      <c r="U218" s="50">
        <f t="shared" ca="1" si="237"/>
        <v>1691.1413758361061</v>
      </c>
      <c r="V218" s="50">
        <f t="shared" ca="1" si="238"/>
        <v>6030.12</v>
      </c>
      <c r="W218" s="50" t="str">
        <f t="shared" ca="1" si="239"/>
        <v>$U$217:$U$218</v>
      </c>
      <c r="X218" s="214" t="str">
        <f t="shared" ca="1" si="240"/>
        <v>$V$217:$V$218</v>
      </c>
      <c r="AB218" s="51"/>
      <c r="AC218" s="51"/>
      <c r="AD218" s="51"/>
      <c r="AE218" s="48"/>
      <c r="AF218" s="48"/>
      <c r="AG218" s="50"/>
      <c r="AH218" s="50"/>
      <c r="AI218" s="51"/>
      <c r="AJ218" s="50"/>
      <c r="AK218" s="55"/>
      <c r="AL218" s="55"/>
      <c r="AM218" s="51"/>
      <c r="AN218" s="51"/>
      <c r="AO218" s="51"/>
      <c r="AP218" s="48"/>
      <c r="AQ218" s="48"/>
      <c r="AR218" s="50"/>
      <c r="AS218" s="50"/>
      <c r="AT218" s="51"/>
      <c r="AU218" s="50"/>
      <c r="AV218" s="55"/>
      <c r="AW218" s="55"/>
      <c r="AX218" s="50"/>
      <c r="AY218" s="51"/>
      <c r="AZ218" s="51"/>
      <c r="BA218" s="48"/>
      <c r="BB218" s="48"/>
      <c r="BC218" s="50"/>
      <c r="BD218" s="50"/>
      <c r="BP218" s="53"/>
      <c r="BQ218" s="52"/>
      <c r="BR218" s="54"/>
      <c r="BS218" s="50"/>
      <c r="BT218" s="55"/>
      <c r="BU218" s="55"/>
      <c r="BV218" s="51"/>
      <c r="BW218" s="51"/>
      <c r="BX218" s="51"/>
      <c r="BY218" s="48"/>
      <c r="BZ218" s="48"/>
      <c r="CA218" s="50"/>
      <c r="CB218" s="52"/>
      <c r="CC218" s="54"/>
      <c r="CD218" s="50"/>
      <c r="CE218" s="55"/>
      <c r="CF218" s="55"/>
      <c r="CG218" s="51"/>
      <c r="CH218" s="51"/>
      <c r="CI218" s="51"/>
      <c r="CJ218" s="48"/>
      <c r="CK218" s="48"/>
      <c r="CL218" s="50"/>
      <c r="CM218" s="52"/>
      <c r="CN218" s="54"/>
      <c r="CO218" s="50"/>
      <c r="CP218" s="55"/>
      <c r="CQ218" s="55"/>
      <c r="CR218" s="51"/>
      <c r="CS218" s="51"/>
      <c r="CT218" s="51"/>
      <c r="CU218" s="48"/>
      <c r="CV218" s="48"/>
      <c r="CW218" s="50"/>
      <c r="CX218" s="50"/>
      <c r="CY218" s="54"/>
      <c r="CZ218" s="50"/>
      <c r="DA218" s="55"/>
      <c r="DB218" s="55"/>
      <c r="DC218" s="50"/>
      <c r="DD218" s="51"/>
      <c r="DE218" s="51"/>
      <c r="DF218" s="48"/>
      <c r="DG218" s="48"/>
      <c r="DH218" s="50"/>
      <c r="DI218" s="52"/>
    </row>
    <row r="219" spans="10:113" x14ac:dyDescent="0.25">
      <c r="J219" s="15">
        <v>3</v>
      </c>
      <c r="K219" s="53">
        <v>17.574837310195228</v>
      </c>
      <c r="L219" s="47">
        <v>2008.3290160130894</v>
      </c>
      <c r="M219" s="54">
        <v>14.882957209057935</v>
      </c>
      <c r="N219" s="50">
        <v>1689.6251821502651</v>
      </c>
      <c r="O219" s="55">
        <f ca="1"/>
        <v>0</v>
      </c>
      <c r="P219" s="50">
        <f t="shared" ca="1" si="241"/>
        <v>1689.9292215953178</v>
      </c>
      <c r="Q219" s="534">
        <f ca="1">IF(O219=1,δ_0*(SLOPE(INDIRECT(VLOOKUP(S219,$S$216:$X$228,5,FALSE)),INDIRECT(VLOOKUP(S219,$S$216:$X$228,6,FALSE)))-SLOPE(INDIRECT(VLOOKUP(S219-1,$S$216:$X$228,5,FALSE)),INDIRECT(VLOOKUP(S219-1,$S$216:$X$228,6,FALSE)))),0)*86400*VLOOKUP($L$213,Aux!$AL$72:$AN$83,3,FALSE)</f>
        <v>0</v>
      </c>
      <c r="R219" s="534">
        <f t="shared" ca="1" si="243"/>
        <v>0</v>
      </c>
      <c r="S219" s="535" cm="1">
        <f t="array" aca="1" ref="S219" ca="1">SUM(IF(ISNUMBER(T$216:T219),1,0))+IF($J219&gt;Capas_VN_C1,1,0)</f>
        <v>2</v>
      </c>
      <c r="T219" s="50" t="e">
        <f t="shared" ca="1" si="242"/>
        <v>#N/A</v>
      </c>
      <c r="U219" s="50" t="e">
        <f t="shared" ca="1" si="237"/>
        <v>#N/A</v>
      </c>
      <c r="V219" s="50" t="e">
        <f t="shared" ca="1" si="238"/>
        <v>#N/A</v>
      </c>
      <c r="W219" s="50" t="str">
        <f t="shared" ca="1" si="239"/>
        <v>$U$217:$U$218</v>
      </c>
      <c r="X219" s="214" t="str">
        <f t="shared" ca="1" si="240"/>
        <v>$V$217:$V$218</v>
      </c>
      <c r="AB219" s="51"/>
      <c r="AC219" s="51"/>
      <c r="AD219" s="51"/>
      <c r="AE219" s="48"/>
      <c r="AF219" s="48"/>
      <c r="AG219" s="50"/>
      <c r="AH219" s="50"/>
      <c r="AI219" s="51"/>
      <c r="AJ219" s="50"/>
      <c r="AK219" s="55"/>
      <c r="AL219" s="55"/>
      <c r="AM219" s="51"/>
      <c r="AN219" s="51"/>
      <c r="AO219" s="51"/>
      <c r="AP219" s="48"/>
      <c r="AQ219" s="48"/>
      <c r="AR219" s="50"/>
      <c r="AS219" s="50"/>
      <c r="AT219" s="51"/>
      <c r="AU219" s="50"/>
      <c r="AV219" s="55"/>
      <c r="AW219" s="55"/>
      <c r="AX219" s="50"/>
      <c r="AY219" s="51"/>
      <c r="AZ219" s="51"/>
      <c r="BA219" s="48"/>
      <c r="BB219" s="48"/>
      <c r="BC219" s="50"/>
      <c r="BD219" s="50"/>
      <c r="BP219" s="53"/>
      <c r="BQ219" s="52"/>
      <c r="BR219" s="54"/>
      <c r="BS219" s="50"/>
      <c r="BT219" s="55"/>
      <c r="BU219" s="55"/>
      <c r="BV219" s="51"/>
      <c r="BW219" s="51"/>
      <c r="BX219" s="51"/>
      <c r="BY219" s="48"/>
      <c r="BZ219" s="48"/>
      <c r="CA219" s="50"/>
      <c r="CB219" s="52"/>
      <c r="CC219" s="54"/>
      <c r="CD219" s="50"/>
      <c r="CE219" s="55"/>
      <c r="CF219" s="55"/>
      <c r="CG219" s="51"/>
      <c r="CH219" s="51"/>
      <c r="CI219" s="51"/>
      <c r="CJ219" s="48"/>
      <c r="CK219" s="48"/>
      <c r="CL219" s="50"/>
      <c r="CM219" s="52"/>
      <c r="CN219" s="54"/>
      <c r="CO219" s="50"/>
      <c r="CP219" s="55"/>
      <c r="CQ219" s="55"/>
      <c r="CR219" s="51"/>
      <c r="CS219" s="51"/>
      <c r="CT219" s="51"/>
      <c r="CU219" s="48"/>
      <c r="CV219" s="48"/>
      <c r="CW219" s="50"/>
      <c r="CX219" s="50"/>
      <c r="CY219" s="54"/>
      <c r="CZ219" s="50"/>
      <c r="DA219" s="55"/>
      <c r="DB219" s="55"/>
      <c r="DC219" s="50"/>
      <c r="DD219" s="51"/>
      <c r="DE219" s="51"/>
      <c r="DF219" s="48"/>
      <c r="DG219" s="48"/>
      <c r="DH219" s="50"/>
      <c r="DI219" s="52"/>
    </row>
    <row r="220" spans="10:113" x14ac:dyDescent="0.25">
      <c r="J220" s="15">
        <v>4</v>
      </c>
      <c r="K220" s="53">
        <v>21.797541576283443</v>
      </c>
      <c r="L220" s="47">
        <v>2609.9777163930557</v>
      </c>
      <c r="M220" s="54">
        <v>14.896732596347926</v>
      </c>
      <c r="N220" s="50">
        <v>1691.1293425528852</v>
      </c>
      <c r="O220" s="55">
        <f ca="1"/>
        <v>0</v>
      </c>
      <c r="P220" s="50">
        <f t="shared" ca="1" si="241"/>
        <v>1691.1317555643539</v>
      </c>
      <c r="Q220" s="534">
        <f ca="1">IF(O220=1,δ_0*(SLOPE(INDIRECT(VLOOKUP(S220,$S$216:$X$228,5,FALSE)),INDIRECT(VLOOKUP(S220,$S$216:$X$228,6,FALSE)))-SLOPE(INDIRECT(VLOOKUP(S220-1,$S$216:$X$228,5,FALSE)),INDIRECT(VLOOKUP(S220-1,$S$216:$X$228,6,FALSE)))),0)*86400*VLOOKUP($L$213,Aux!$AL$72:$AN$83,3,FALSE)</f>
        <v>0</v>
      </c>
      <c r="R220" s="534">
        <f t="shared" ca="1" si="243"/>
        <v>0</v>
      </c>
      <c r="S220" s="535" cm="1">
        <f t="array" aca="1" ref="S220" ca="1">SUM(IF(ISNUMBER(T$216:T220),1,0))+IF($J220&gt;Capas_VN_C1,1,0)</f>
        <v>2</v>
      </c>
      <c r="T220" s="50" t="e">
        <f t="shared" ca="1" si="242"/>
        <v>#N/A</v>
      </c>
      <c r="U220" s="50" t="e">
        <f t="shared" ca="1" si="237"/>
        <v>#N/A</v>
      </c>
      <c r="V220" s="50" t="e">
        <f t="shared" ca="1" si="238"/>
        <v>#N/A</v>
      </c>
      <c r="W220" s="50" t="str">
        <f t="shared" ca="1" si="239"/>
        <v>$U$217:$U$218</v>
      </c>
      <c r="X220" s="214" t="str">
        <f t="shared" ca="1" si="240"/>
        <v>$V$217:$V$218</v>
      </c>
      <c r="AB220" s="51"/>
      <c r="AC220" s="51"/>
      <c r="AD220" s="51"/>
      <c r="AE220" s="48"/>
      <c r="AF220" s="48"/>
      <c r="AG220" s="50"/>
      <c r="AH220" s="50"/>
      <c r="AI220" s="51"/>
      <c r="AJ220" s="50"/>
      <c r="AK220" s="55"/>
      <c r="AL220" s="55"/>
      <c r="AM220" s="51"/>
      <c r="AN220" s="51"/>
      <c r="AO220" s="51"/>
      <c r="AP220" s="48"/>
      <c r="AQ220" s="48"/>
      <c r="AR220" s="50"/>
      <c r="AS220" s="50"/>
      <c r="AT220" s="51"/>
      <c r="AU220" s="50"/>
      <c r="AV220" s="55"/>
      <c r="AW220" s="55"/>
      <c r="AX220" s="50"/>
      <c r="AY220" s="51"/>
      <c r="AZ220" s="51"/>
      <c r="BA220" s="48"/>
      <c r="BB220" s="48"/>
      <c r="BC220" s="50"/>
      <c r="BD220" s="50"/>
      <c r="BP220" s="53"/>
      <c r="BQ220" s="52"/>
      <c r="BR220" s="54"/>
      <c r="BS220" s="50"/>
      <c r="BT220" s="55"/>
      <c r="BU220" s="55"/>
      <c r="BV220" s="51"/>
      <c r="BW220" s="51"/>
      <c r="BX220" s="51"/>
      <c r="BY220" s="48"/>
      <c r="BZ220" s="48"/>
      <c r="CA220" s="50"/>
      <c r="CB220" s="52"/>
      <c r="CC220" s="54"/>
      <c r="CD220" s="50"/>
      <c r="CE220" s="55"/>
      <c r="CF220" s="55"/>
      <c r="CG220" s="51"/>
      <c r="CH220" s="51"/>
      <c r="CI220" s="51"/>
      <c r="CJ220" s="48"/>
      <c r="CK220" s="48"/>
      <c r="CL220" s="50"/>
      <c r="CM220" s="52"/>
      <c r="CN220" s="54"/>
      <c r="CO220" s="50"/>
      <c r="CP220" s="55"/>
      <c r="CQ220" s="55"/>
      <c r="CR220" s="51"/>
      <c r="CS220" s="51"/>
      <c r="CT220" s="51"/>
      <c r="CU220" s="48"/>
      <c r="CV220" s="48"/>
      <c r="CW220" s="50"/>
      <c r="CX220" s="50"/>
      <c r="CY220" s="54"/>
      <c r="CZ220" s="50"/>
      <c r="DA220" s="55"/>
      <c r="DB220" s="55"/>
      <c r="DC220" s="50"/>
      <c r="DD220" s="51"/>
      <c r="DE220" s="51"/>
      <c r="DF220" s="48"/>
      <c r="DG220" s="48"/>
      <c r="DH220" s="50"/>
      <c r="DI220" s="52"/>
    </row>
    <row r="221" spans="10:113" x14ac:dyDescent="0.25">
      <c r="J221" s="15">
        <v>5</v>
      </c>
      <c r="K221" s="53">
        <v>21.884309472161966</v>
      </c>
      <c r="L221" s="47">
        <v>2623.833754184117</v>
      </c>
      <c r="M221" s="54">
        <v>14.896842755770757</v>
      </c>
      <c r="N221" s="50">
        <v>1691.1413758361061</v>
      </c>
      <c r="O221" s="55">
        <f ca="1"/>
        <v>0</v>
      </c>
      <c r="P221" s="50">
        <f t="shared" ca="1" si="241"/>
        <v>1691.1413758361061</v>
      </c>
      <c r="Q221" s="534">
        <f ca="1">IF(O221=1,δ_0*(SLOPE(INDIRECT(VLOOKUP(S221,$S$216:$X$228,5,FALSE)),INDIRECT(VLOOKUP(S221,$S$216:$X$228,6,FALSE)))-SLOPE(INDIRECT(VLOOKUP(S221-1,$S$216:$X$228,5,FALSE)),INDIRECT(VLOOKUP(S221-1,$S$216:$X$228,6,FALSE)))),0)*86400*VLOOKUP($L$213,Aux!$AL$72:$AN$83,3,FALSE)</f>
        <v>0</v>
      </c>
      <c r="R221" s="534">
        <f t="shared" ca="1" si="243"/>
        <v>0</v>
      </c>
      <c r="S221" s="535" cm="1">
        <f t="array" aca="1" ref="S221" ca="1">SUM(IF(ISNUMBER(T$216:T221),1,0))+IF($J221&gt;Capas_VN_C1,1,0)</f>
        <v>3</v>
      </c>
      <c r="T221" s="50">
        <f t="shared" ca="1" si="242"/>
        <v>1691.1413758361061</v>
      </c>
      <c r="U221" s="50" t="e">
        <f t="shared" ca="1" si="237"/>
        <v>#N/A</v>
      </c>
      <c r="V221" s="50" t="e">
        <f t="shared" ca="1" si="238"/>
        <v>#N/A</v>
      </c>
      <c r="W221" s="50" t="str">
        <f t="shared" ca="1" si="239"/>
        <v>$U$218:$U$219</v>
      </c>
      <c r="X221" s="214" t="str">
        <f t="shared" ca="1" si="240"/>
        <v>$V$218:$V$219</v>
      </c>
      <c r="AB221" s="51"/>
      <c r="AC221" s="51"/>
      <c r="AD221" s="51"/>
      <c r="AE221" s="48"/>
      <c r="AF221" s="48"/>
      <c r="AG221" s="50"/>
      <c r="AH221" s="50"/>
      <c r="AI221" s="51"/>
      <c r="AJ221" s="50"/>
      <c r="AK221" s="55"/>
      <c r="AL221" s="55"/>
      <c r="AM221" s="51"/>
      <c r="AN221" s="51"/>
      <c r="AO221" s="51"/>
      <c r="AP221" s="48"/>
      <c r="AQ221" s="48"/>
      <c r="AR221" s="50"/>
      <c r="AS221" s="50"/>
      <c r="AT221" s="51"/>
      <c r="AU221" s="50"/>
      <c r="AV221" s="55"/>
      <c r="AW221" s="55"/>
      <c r="AX221" s="50"/>
      <c r="AY221" s="51"/>
      <c r="AZ221" s="51"/>
      <c r="BA221" s="48"/>
      <c r="BB221" s="48"/>
      <c r="BC221" s="50"/>
      <c r="BD221" s="50"/>
      <c r="BP221" s="53"/>
      <c r="BQ221" s="52"/>
      <c r="BR221" s="54"/>
      <c r="BS221" s="50"/>
      <c r="BT221" s="55"/>
      <c r="BU221" s="55"/>
      <c r="BV221" s="51"/>
      <c r="BW221" s="51"/>
      <c r="BX221" s="51"/>
      <c r="BY221" s="48"/>
      <c r="BZ221" s="48"/>
      <c r="CA221" s="50"/>
      <c r="CB221" s="52"/>
      <c r="CC221" s="54"/>
      <c r="CD221" s="50"/>
      <c r="CE221" s="55"/>
      <c r="CF221" s="55"/>
      <c r="CG221" s="51"/>
      <c r="CH221" s="51"/>
      <c r="CI221" s="51"/>
      <c r="CJ221" s="48"/>
      <c r="CK221" s="48"/>
      <c r="CL221" s="50"/>
      <c r="CM221" s="52"/>
      <c r="CN221" s="54"/>
      <c r="CO221" s="50"/>
      <c r="CP221" s="55"/>
      <c r="CQ221" s="55"/>
      <c r="CR221" s="51"/>
      <c r="CS221" s="51"/>
      <c r="CT221" s="51"/>
      <c r="CU221" s="48"/>
      <c r="CV221" s="48"/>
      <c r="CW221" s="50"/>
      <c r="CX221" s="50"/>
      <c r="CY221" s="54"/>
      <c r="CZ221" s="50"/>
      <c r="DA221" s="55"/>
      <c r="DB221" s="55"/>
      <c r="DC221" s="50"/>
      <c r="DD221" s="51"/>
      <c r="DE221" s="51"/>
      <c r="DF221" s="48"/>
      <c r="DG221" s="48"/>
      <c r="DH221" s="50"/>
      <c r="DI221" s="52"/>
    </row>
    <row r="222" spans="10:113" x14ac:dyDescent="0.25">
      <c r="J222" s="15">
        <v>6</v>
      </c>
      <c r="K222" s="53">
        <v>22</v>
      </c>
      <c r="L222" s="47">
        <v>2642.4083997439157</v>
      </c>
      <c r="M222" s="54" t="e">
        <v>#N/A</v>
      </c>
      <c r="N222" s="50" t="e">
        <v>#N/A</v>
      </c>
      <c r="O222" s="55" t="e">
        <f ca="1"/>
        <v>#N/A</v>
      </c>
      <c r="P222" s="50" t="e">
        <f t="shared" ca="1" si="241"/>
        <v>#N/A</v>
      </c>
      <c r="Q222" s="534" t="e">
        <f ca="1">IF(O222=1,δ_0*(SLOPE(INDIRECT(VLOOKUP(S222,$S$216:$X$228,5,FALSE)),INDIRECT(VLOOKUP(S222,$S$216:$X$228,6,FALSE)))-SLOPE(INDIRECT(VLOOKUP(S222-1,$S$216:$X$228,5,FALSE)),INDIRECT(VLOOKUP(S222-1,$S$216:$X$228,6,FALSE)))),0)*86400*VLOOKUP($L$213,Aux!$AL$72:$AN$83,3,FALSE)</f>
        <v>#N/A</v>
      </c>
      <c r="R222" s="534">
        <f t="shared" ca="1" si="243"/>
        <v>0</v>
      </c>
      <c r="S222" s="535" cm="1">
        <f t="array" aca="1" ref="S222" ca="1">SUM(IF(ISNUMBER(T$216:T222),1,0))+IF($J222&gt;Capas_VN_C1,1,0)</f>
        <v>4</v>
      </c>
      <c r="T222" s="50" t="e">
        <f t="shared" ca="1" si="242"/>
        <v>#N/A</v>
      </c>
      <c r="U222" s="50" t="e">
        <f t="shared" ca="1" si="237"/>
        <v>#N/A</v>
      </c>
      <c r="V222" s="50" t="e">
        <f t="shared" ca="1" si="238"/>
        <v>#N/A</v>
      </c>
      <c r="W222" s="50" t="str">
        <f t="shared" ca="1" si="239"/>
        <v>$U$219:$U$220</v>
      </c>
      <c r="X222" s="214" t="str">
        <f t="shared" ca="1" si="240"/>
        <v>$V$219:$V$220</v>
      </c>
      <c r="AB222" s="51"/>
      <c r="AC222" s="51"/>
      <c r="AD222" s="51"/>
      <c r="AE222" s="48"/>
      <c r="AF222" s="48"/>
      <c r="AG222" s="50"/>
      <c r="AH222" s="50"/>
      <c r="AI222" s="51"/>
      <c r="AJ222" s="50"/>
      <c r="AK222" s="55"/>
      <c r="AL222" s="55"/>
      <c r="AM222" s="51"/>
      <c r="AN222" s="51"/>
      <c r="AO222" s="51"/>
      <c r="AP222" s="48"/>
      <c r="AQ222" s="48"/>
      <c r="AR222" s="50"/>
      <c r="AS222" s="50"/>
      <c r="AT222" s="51"/>
      <c r="AU222" s="50"/>
      <c r="AV222" s="55"/>
      <c r="AW222" s="55"/>
      <c r="AX222" s="50"/>
      <c r="AY222" s="51"/>
      <c r="AZ222" s="51"/>
      <c r="BA222" s="48"/>
      <c r="BB222" s="48"/>
      <c r="BC222" s="50"/>
      <c r="BD222" s="50"/>
      <c r="BP222" s="53"/>
      <c r="BQ222" s="52"/>
      <c r="BR222" s="54"/>
      <c r="BS222" s="50"/>
      <c r="BT222" s="55"/>
      <c r="BU222" s="55"/>
      <c r="BV222" s="51"/>
      <c r="BW222" s="51"/>
      <c r="BX222" s="51"/>
      <c r="BY222" s="48"/>
      <c r="BZ222" s="48"/>
      <c r="CA222" s="50"/>
      <c r="CB222" s="52"/>
      <c r="CC222" s="54"/>
      <c r="CD222" s="50"/>
      <c r="CE222" s="55"/>
      <c r="CF222" s="55"/>
      <c r="CG222" s="51"/>
      <c r="CH222" s="51"/>
      <c r="CI222" s="51"/>
      <c r="CJ222" s="48"/>
      <c r="CK222" s="48"/>
      <c r="CL222" s="50"/>
      <c r="CM222" s="52"/>
      <c r="CN222" s="54"/>
      <c r="CO222" s="50"/>
      <c r="CP222" s="55"/>
      <c r="CQ222" s="55"/>
      <c r="CR222" s="51"/>
      <c r="CS222" s="51"/>
      <c r="CT222" s="51"/>
      <c r="CU222" s="48"/>
      <c r="CV222" s="48"/>
      <c r="CW222" s="50"/>
      <c r="CX222" s="50"/>
      <c r="CY222" s="54"/>
      <c r="CZ222" s="50"/>
      <c r="DA222" s="55"/>
      <c r="DB222" s="55"/>
      <c r="DC222" s="50"/>
      <c r="DD222" s="51"/>
      <c r="DE222" s="51"/>
      <c r="DF222" s="48"/>
      <c r="DG222" s="48"/>
      <c r="DH222" s="50"/>
      <c r="DI222" s="52"/>
    </row>
    <row r="223" spans="10:113" x14ac:dyDescent="0.25">
      <c r="J223" s="15">
        <v>7</v>
      </c>
      <c r="K223" s="53" t="e">
        <v>#N/A</v>
      </c>
      <c r="L223" s="47" t="e">
        <v>#N/A</v>
      </c>
      <c r="M223" s="54" t="e">
        <v>#N/A</v>
      </c>
      <c r="N223" s="50" t="e">
        <v>#N/A</v>
      </c>
      <c r="O223" s="55" t="e">
        <f ca="1"/>
        <v>#N/A</v>
      </c>
      <c r="P223" s="50" t="e">
        <f t="shared" ca="1" si="241"/>
        <v>#N/A</v>
      </c>
      <c r="Q223" s="534" t="e">
        <f ca="1">IF(O223=1,δ_0*(SLOPE(INDIRECT(VLOOKUP(S223,$S$216:$X$228,5,FALSE)),INDIRECT(VLOOKUP(S223,$S$216:$X$228,6,FALSE)))-SLOPE(INDIRECT(VLOOKUP(S223-1,$S$216:$X$228,5,FALSE)),INDIRECT(VLOOKUP(S223-1,$S$216:$X$228,6,FALSE)))),0)*86400*VLOOKUP($L$213,Aux!$AL$72:$AN$83,3,FALSE)</f>
        <v>#N/A</v>
      </c>
      <c r="R223" s="534">
        <f t="shared" ca="1" si="243"/>
        <v>0</v>
      </c>
      <c r="S223" s="535" cm="1">
        <f t="array" aca="1" ref="S223" ca="1">SUM(IF(ISNUMBER(T$216:T223),1,0))+IF($J223&gt;Capas_VN_C1,1,0)</f>
        <v>4</v>
      </c>
      <c r="T223" s="50" t="e">
        <f t="shared" ca="1" si="242"/>
        <v>#N/A</v>
      </c>
      <c r="U223" s="50" t="e">
        <f t="shared" ca="1" si="237"/>
        <v>#N/A</v>
      </c>
      <c r="V223" s="50" t="e">
        <f t="shared" ca="1" si="238"/>
        <v>#N/A</v>
      </c>
      <c r="W223" s="50" t="str">
        <f t="shared" ca="1" si="239"/>
        <v>$U$219:$U$220</v>
      </c>
      <c r="X223" s="214" t="str">
        <f t="shared" ca="1" si="240"/>
        <v>$V$219:$V$220</v>
      </c>
      <c r="AB223" s="51"/>
      <c r="AC223" s="51"/>
      <c r="AD223" s="51"/>
      <c r="AE223" s="48"/>
      <c r="AF223" s="48"/>
      <c r="AG223" s="50"/>
      <c r="AH223" s="50"/>
      <c r="AI223" s="51"/>
      <c r="AJ223" s="50"/>
      <c r="AK223" s="55"/>
      <c r="AL223" s="55"/>
      <c r="AM223" s="51"/>
      <c r="AN223" s="51"/>
      <c r="AO223" s="51"/>
      <c r="AP223" s="48"/>
      <c r="AQ223" s="48"/>
      <c r="AR223" s="50"/>
      <c r="AS223" s="50"/>
      <c r="AT223" s="51"/>
      <c r="AU223" s="50"/>
      <c r="AV223" s="55"/>
      <c r="AW223" s="55"/>
      <c r="AX223" s="50"/>
      <c r="AY223" s="51"/>
      <c r="AZ223" s="51"/>
      <c r="BA223" s="48"/>
      <c r="BB223" s="48"/>
      <c r="BC223" s="50"/>
      <c r="BD223" s="50"/>
      <c r="BP223" s="53"/>
      <c r="BQ223" s="52"/>
      <c r="BR223" s="54"/>
      <c r="BS223" s="50"/>
      <c r="BT223" s="55"/>
      <c r="BU223" s="55"/>
      <c r="BV223" s="51"/>
      <c r="BW223" s="51"/>
      <c r="BX223" s="51"/>
      <c r="BY223" s="48"/>
      <c r="BZ223" s="48"/>
      <c r="CA223" s="50"/>
      <c r="CB223" s="52"/>
      <c r="CC223" s="54"/>
      <c r="CD223" s="50"/>
      <c r="CE223" s="55"/>
      <c r="CF223" s="55"/>
      <c r="CG223" s="51"/>
      <c r="CH223" s="51"/>
      <c r="CI223" s="51"/>
      <c r="CJ223" s="48"/>
      <c r="CK223" s="48"/>
      <c r="CL223" s="50"/>
      <c r="CM223" s="52"/>
      <c r="CN223" s="54"/>
      <c r="CO223" s="50"/>
      <c r="CP223" s="55"/>
      <c r="CQ223" s="55"/>
      <c r="CR223" s="51"/>
      <c r="CS223" s="51"/>
      <c r="CT223" s="51"/>
      <c r="CU223" s="48"/>
      <c r="CV223" s="48"/>
      <c r="CW223" s="50"/>
      <c r="CX223" s="50"/>
      <c r="CY223" s="54"/>
      <c r="CZ223" s="50"/>
      <c r="DA223" s="55"/>
      <c r="DB223" s="55"/>
      <c r="DC223" s="50"/>
      <c r="DD223" s="51"/>
      <c r="DE223" s="51"/>
      <c r="DF223" s="48"/>
      <c r="DG223" s="48"/>
      <c r="DH223" s="50"/>
      <c r="DI223" s="52"/>
    </row>
    <row r="224" spans="10:113" x14ac:dyDescent="0.25">
      <c r="J224" s="15">
        <v>8</v>
      </c>
      <c r="K224" s="53" t="e">
        <v>#N/A</v>
      </c>
      <c r="L224" s="47" t="e">
        <v>#N/A</v>
      </c>
      <c r="M224" s="54" t="e">
        <v>#N/A</v>
      </c>
      <c r="N224" s="50" t="e">
        <v>#N/A</v>
      </c>
      <c r="O224" s="55" t="e">
        <f ca="1"/>
        <v>#N/A</v>
      </c>
      <c r="P224" s="50" t="e">
        <f t="shared" ca="1" si="241"/>
        <v>#N/A</v>
      </c>
      <c r="Q224" s="534" t="e">
        <f ca="1">IF(O224=1,δ_0*(SLOPE(INDIRECT(VLOOKUP(S224,$S$216:$X$228,5,FALSE)),INDIRECT(VLOOKUP(S224,$S$216:$X$228,6,FALSE)))-SLOPE(INDIRECT(VLOOKUP(S224-1,$S$216:$X$228,5,FALSE)),INDIRECT(VLOOKUP(S224-1,$S$216:$X$228,6,FALSE)))),0)*86400*VLOOKUP($L$213,Aux!$AL$72:$AN$83,3,FALSE)</f>
        <v>#N/A</v>
      </c>
      <c r="R224" s="534">
        <f t="shared" ca="1" si="243"/>
        <v>0</v>
      </c>
      <c r="S224" s="535" cm="1">
        <f t="array" aca="1" ref="S224" ca="1">SUM(IF(ISNUMBER(T$216:T224),1,0))+IF($J224&gt;Capas_VN_C1,1,0)</f>
        <v>4</v>
      </c>
      <c r="T224" s="50" t="e">
        <f t="shared" ca="1" si="242"/>
        <v>#N/A</v>
      </c>
      <c r="U224" s="50" t="e">
        <f t="shared" ca="1" si="237"/>
        <v>#N/A</v>
      </c>
      <c r="V224" s="50" t="e">
        <f t="shared" ca="1" si="238"/>
        <v>#N/A</v>
      </c>
      <c r="W224" s="50" t="str">
        <f t="shared" ca="1" si="239"/>
        <v>$U$219:$U$220</v>
      </c>
      <c r="X224" s="214" t="str">
        <f t="shared" ca="1" si="240"/>
        <v>$V$219:$V$220</v>
      </c>
      <c r="AB224" s="51"/>
      <c r="AC224" s="51"/>
      <c r="AD224" s="51"/>
      <c r="AE224" s="48"/>
      <c r="AF224" s="48"/>
      <c r="AG224" s="50"/>
      <c r="AH224" s="50"/>
      <c r="AI224" s="51"/>
      <c r="AJ224" s="50"/>
      <c r="AK224" s="55"/>
      <c r="AL224" s="55"/>
      <c r="AM224" s="51"/>
      <c r="AN224" s="51"/>
      <c r="AO224" s="51"/>
      <c r="AP224" s="48"/>
      <c r="AQ224" s="48"/>
      <c r="AR224" s="50"/>
      <c r="AS224" s="50"/>
      <c r="AT224" s="51"/>
      <c r="AU224" s="50"/>
      <c r="AV224" s="55"/>
      <c r="AW224" s="55"/>
      <c r="AX224" s="50"/>
      <c r="AY224" s="51"/>
      <c r="AZ224" s="51"/>
      <c r="BA224" s="48"/>
      <c r="BB224" s="48"/>
      <c r="BC224" s="50"/>
      <c r="BD224" s="50"/>
      <c r="BP224" s="53"/>
      <c r="BQ224" s="52"/>
      <c r="BR224" s="54"/>
      <c r="BS224" s="50"/>
      <c r="BT224" s="55"/>
      <c r="BU224" s="55"/>
      <c r="BV224" s="51"/>
      <c r="BW224" s="51"/>
      <c r="BX224" s="51"/>
      <c r="BY224" s="48"/>
      <c r="BZ224" s="48"/>
      <c r="CA224" s="50"/>
      <c r="CB224" s="52"/>
      <c r="CC224" s="54"/>
      <c r="CD224" s="50"/>
      <c r="CE224" s="55"/>
      <c r="CF224" s="55"/>
      <c r="CG224" s="51"/>
      <c r="CH224" s="51"/>
      <c r="CI224" s="51"/>
      <c r="CJ224" s="48"/>
      <c r="CK224" s="48"/>
      <c r="CL224" s="50"/>
      <c r="CM224" s="52"/>
      <c r="CN224" s="54"/>
      <c r="CO224" s="50"/>
      <c r="CP224" s="55"/>
      <c r="CQ224" s="55"/>
      <c r="CR224" s="51"/>
      <c r="CS224" s="51"/>
      <c r="CT224" s="51"/>
      <c r="CU224" s="48"/>
      <c r="CV224" s="48"/>
      <c r="CW224" s="50"/>
      <c r="CX224" s="50"/>
      <c r="CY224" s="54"/>
      <c r="CZ224" s="50"/>
      <c r="DA224" s="55"/>
      <c r="DB224" s="55"/>
      <c r="DC224" s="50"/>
      <c r="DD224" s="51"/>
      <c r="DE224" s="51"/>
      <c r="DF224" s="48"/>
      <c r="DG224" s="48"/>
      <c r="DH224" s="50"/>
      <c r="DI224" s="52"/>
    </row>
    <row r="225" spans="10:113" x14ac:dyDescent="0.25">
      <c r="J225" s="15">
        <v>9</v>
      </c>
      <c r="K225" s="53" t="e">
        <v>#N/A</v>
      </c>
      <c r="L225" s="47" t="e">
        <v>#N/A</v>
      </c>
      <c r="M225" s="54" t="e">
        <v>#N/A</v>
      </c>
      <c r="N225" s="50" t="e">
        <v>#N/A</v>
      </c>
      <c r="O225" s="55" t="e">
        <f ca="1"/>
        <v>#N/A</v>
      </c>
      <c r="P225" s="50" t="e">
        <f t="shared" ca="1" si="241"/>
        <v>#N/A</v>
      </c>
      <c r="Q225" s="534" t="e">
        <f ca="1">IF(O225=1,δ_0*(SLOPE(INDIRECT(VLOOKUP(S225,$S$216:$X$228,5,FALSE)),INDIRECT(VLOOKUP(S225,$S$216:$X$228,6,FALSE)))-SLOPE(INDIRECT(VLOOKUP(S225-1,$S$216:$X$228,5,FALSE)),INDIRECT(VLOOKUP(S225-1,$S$216:$X$228,6,FALSE)))),0)*86400*VLOOKUP($L$213,Aux!$AL$72:$AN$83,3,FALSE)</f>
        <v>#N/A</v>
      </c>
      <c r="R225" s="534">
        <f t="shared" ca="1" si="243"/>
        <v>0</v>
      </c>
      <c r="S225" s="535" cm="1">
        <f t="array" aca="1" ref="S225" ca="1">SUM(IF(ISNUMBER(T$216:T225),1,0))+IF($J225&gt;Capas_VN_C1,1,0)</f>
        <v>4</v>
      </c>
      <c r="T225" s="50" t="e">
        <f t="shared" ca="1" si="242"/>
        <v>#N/A</v>
      </c>
      <c r="U225" s="50" t="e">
        <f t="shared" ca="1" si="237"/>
        <v>#N/A</v>
      </c>
      <c r="V225" s="50" t="e">
        <f t="shared" ca="1" si="238"/>
        <v>#N/A</v>
      </c>
      <c r="W225" s="50" t="str">
        <f t="shared" ca="1" si="239"/>
        <v>$U$219:$U$220</v>
      </c>
      <c r="X225" s="214" t="str">
        <f t="shared" ca="1" si="240"/>
        <v>$V$219:$V$220</v>
      </c>
      <c r="AB225" s="51"/>
      <c r="AC225" s="51"/>
      <c r="AD225" s="51"/>
      <c r="AE225" s="48"/>
      <c r="AF225" s="48"/>
      <c r="AG225" s="50"/>
      <c r="AH225" s="50"/>
      <c r="AI225" s="51"/>
      <c r="AJ225" s="50"/>
      <c r="AK225" s="55"/>
      <c r="AL225" s="55"/>
      <c r="AM225" s="51"/>
      <c r="AN225" s="51"/>
      <c r="AO225" s="51"/>
      <c r="AP225" s="48"/>
      <c r="AQ225" s="48"/>
      <c r="AR225" s="50"/>
      <c r="AS225" s="50"/>
      <c r="AT225" s="51"/>
      <c r="AU225" s="50"/>
      <c r="AV225" s="55"/>
      <c r="AW225" s="55"/>
      <c r="AX225" s="50"/>
      <c r="AY225" s="51"/>
      <c r="AZ225" s="51"/>
      <c r="BA225" s="48"/>
      <c r="BB225" s="48"/>
      <c r="BC225" s="50"/>
      <c r="BD225" s="50"/>
      <c r="BP225" s="53"/>
      <c r="BQ225" s="52"/>
      <c r="BR225" s="54"/>
      <c r="BS225" s="50"/>
      <c r="BT225" s="55"/>
      <c r="BU225" s="55"/>
      <c r="BV225" s="51"/>
      <c r="BW225" s="51"/>
      <c r="BX225" s="51"/>
      <c r="BY225" s="48"/>
      <c r="BZ225" s="48"/>
      <c r="CA225" s="50"/>
      <c r="CB225" s="52"/>
      <c r="CC225" s="54"/>
      <c r="CD225" s="50"/>
      <c r="CE225" s="55"/>
      <c r="CF225" s="55"/>
      <c r="CG225" s="51"/>
      <c r="CH225" s="51"/>
      <c r="CI225" s="51"/>
      <c r="CJ225" s="48"/>
      <c r="CK225" s="48"/>
      <c r="CL225" s="50"/>
      <c r="CM225" s="52"/>
      <c r="CN225" s="54"/>
      <c r="CO225" s="50"/>
      <c r="CP225" s="55"/>
      <c r="CQ225" s="55"/>
      <c r="CR225" s="51"/>
      <c r="CS225" s="51"/>
      <c r="CT225" s="51"/>
      <c r="CU225" s="48"/>
      <c r="CV225" s="48"/>
      <c r="CW225" s="50"/>
      <c r="CX225" s="50"/>
      <c r="CY225" s="54"/>
      <c r="CZ225" s="50"/>
      <c r="DA225" s="55"/>
      <c r="DB225" s="55"/>
      <c r="DC225" s="50"/>
      <c r="DD225" s="51"/>
      <c r="DE225" s="51"/>
      <c r="DF225" s="48"/>
      <c r="DG225" s="48"/>
      <c r="DH225" s="50"/>
      <c r="DI225" s="52"/>
    </row>
    <row r="226" spans="10:113" x14ac:dyDescent="0.25">
      <c r="J226" s="15">
        <v>10</v>
      </c>
      <c r="K226" s="53" t="e">
        <v>#N/A</v>
      </c>
      <c r="L226" s="47" t="e">
        <v>#N/A</v>
      </c>
      <c r="M226" s="54" t="e">
        <v>#N/A</v>
      </c>
      <c r="N226" s="50" t="e">
        <v>#N/A</v>
      </c>
      <c r="O226" s="55" t="e">
        <f ca="1"/>
        <v>#N/A</v>
      </c>
      <c r="P226" s="50" t="e">
        <f t="shared" ca="1" si="241"/>
        <v>#N/A</v>
      </c>
      <c r="Q226" s="534" t="e">
        <f ca="1">IF(O226=1,δ_0*(SLOPE(INDIRECT(VLOOKUP(S226,$S$216:$X$228,5,FALSE)),INDIRECT(VLOOKUP(S226,$S$216:$X$228,6,FALSE)))-SLOPE(INDIRECT(VLOOKUP(S226-1,$S$216:$X$228,5,FALSE)),INDIRECT(VLOOKUP(S226-1,$S$216:$X$228,6,FALSE)))),0)*86400*VLOOKUP($L$213,Aux!$AL$72:$AN$83,3,FALSE)</f>
        <v>#N/A</v>
      </c>
      <c r="R226" s="534">
        <f t="shared" ca="1" si="243"/>
        <v>0</v>
      </c>
      <c r="S226" s="535" cm="1">
        <f t="array" aca="1" ref="S226" ca="1">SUM(IF(ISNUMBER(T$216:T226),1,0))+IF($J226&gt;Capas_VN_C1,1,0)</f>
        <v>4</v>
      </c>
      <c r="T226" s="50" t="e">
        <f t="shared" ca="1" si="242"/>
        <v>#N/A</v>
      </c>
      <c r="U226" s="50" t="e">
        <f t="shared" ca="1" si="237"/>
        <v>#N/A</v>
      </c>
      <c r="V226" s="50" t="e">
        <f t="shared" ca="1" si="238"/>
        <v>#N/A</v>
      </c>
      <c r="W226" s="50" t="str">
        <f t="shared" ca="1" si="239"/>
        <v>$U$219:$U$220</v>
      </c>
      <c r="X226" s="214" t="str">
        <f t="shared" ca="1" si="240"/>
        <v>$V$219:$V$220</v>
      </c>
      <c r="AB226" s="51"/>
      <c r="AC226" s="51"/>
      <c r="AD226" s="51"/>
      <c r="AE226" s="48"/>
      <c r="AF226" s="48"/>
      <c r="AG226" s="50"/>
      <c r="AH226" s="50"/>
      <c r="AI226" s="51"/>
      <c r="AJ226" s="50"/>
      <c r="AK226" s="55"/>
      <c r="AL226" s="55"/>
      <c r="AM226" s="51"/>
      <c r="AN226" s="51"/>
      <c r="AO226" s="51"/>
      <c r="AP226" s="48"/>
      <c r="AQ226" s="48"/>
      <c r="AR226" s="50"/>
      <c r="AS226" s="50"/>
      <c r="AT226" s="51"/>
      <c r="AU226" s="50"/>
      <c r="AV226" s="55"/>
      <c r="AW226" s="55"/>
      <c r="AX226" s="50"/>
      <c r="AY226" s="51"/>
      <c r="AZ226" s="51"/>
      <c r="BA226" s="48"/>
      <c r="BB226" s="48"/>
      <c r="BC226" s="50"/>
      <c r="BD226" s="50"/>
      <c r="BP226" s="53"/>
      <c r="BQ226" s="52"/>
      <c r="BR226" s="54"/>
      <c r="BS226" s="50"/>
      <c r="BT226" s="55"/>
      <c r="BU226" s="55"/>
      <c r="BV226" s="51"/>
      <c r="BW226" s="51"/>
      <c r="BX226" s="51"/>
      <c r="BY226" s="48"/>
      <c r="BZ226" s="48"/>
      <c r="CA226" s="50"/>
      <c r="CB226" s="52"/>
      <c r="CC226" s="54"/>
      <c r="CD226" s="50"/>
      <c r="CE226" s="55"/>
      <c r="CF226" s="55"/>
      <c r="CG226" s="51"/>
      <c r="CH226" s="51"/>
      <c r="CI226" s="51"/>
      <c r="CJ226" s="48"/>
      <c r="CK226" s="48"/>
      <c r="CL226" s="50"/>
      <c r="CM226" s="52"/>
      <c r="CN226" s="54"/>
      <c r="CO226" s="50"/>
      <c r="CP226" s="55"/>
      <c r="CQ226" s="55"/>
      <c r="CR226" s="51"/>
      <c r="CS226" s="51"/>
      <c r="CT226" s="51"/>
      <c r="CU226" s="48"/>
      <c r="CV226" s="48"/>
      <c r="CW226" s="50"/>
      <c r="CX226" s="50"/>
      <c r="CY226" s="54"/>
      <c r="CZ226" s="50"/>
      <c r="DA226" s="55"/>
      <c r="DB226" s="55"/>
      <c r="DC226" s="50"/>
      <c r="DD226" s="51"/>
      <c r="DE226" s="51"/>
      <c r="DF226" s="48"/>
      <c r="DG226" s="48"/>
      <c r="DH226" s="50"/>
      <c r="DI226" s="52"/>
    </row>
    <row r="227" spans="10:113" x14ac:dyDescent="0.25">
      <c r="J227" s="15">
        <v>11</v>
      </c>
      <c r="K227" s="53" t="e">
        <v>#N/A</v>
      </c>
      <c r="L227" s="47" t="e">
        <v>#N/A</v>
      </c>
      <c r="M227" s="54" t="e">
        <v>#N/A</v>
      </c>
      <c r="N227" s="50" t="e">
        <v>#N/A</v>
      </c>
      <c r="O227" s="55" t="e">
        <f ca="1"/>
        <v>#N/A</v>
      </c>
      <c r="P227" s="50" t="e">
        <f t="shared" ca="1" si="241"/>
        <v>#N/A</v>
      </c>
      <c r="Q227" s="534" t="e">
        <f ca="1">IF(O227=1,δ_0*(SLOPE(INDIRECT(VLOOKUP(S227,$S$216:$X$228,5,FALSE)),INDIRECT(VLOOKUP(S227,$S$216:$X$228,6,FALSE)))-SLOPE(INDIRECT(VLOOKUP(S227-1,$S$216:$X$228,5,FALSE)),INDIRECT(VLOOKUP(S227-1,$S$216:$X$228,6,FALSE)))),0)*86400*VLOOKUP($L$213,Aux!$AL$72:$AN$83,3,FALSE)</f>
        <v>#N/A</v>
      </c>
      <c r="R227" s="534">
        <f t="shared" ca="1" si="243"/>
        <v>0</v>
      </c>
      <c r="S227" s="535" cm="1">
        <f t="array" aca="1" ref="S227" ca="1">SUM(IF(ISNUMBER(T$216:T227),1,0))+IF($J227&gt;Capas_VN_C1,1,0)</f>
        <v>4</v>
      </c>
      <c r="T227" s="50" t="e">
        <f t="shared" ca="1" si="242"/>
        <v>#N/A</v>
      </c>
      <c r="U227" s="50" t="e">
        <f t="shared" ca="1" si="237"/>
        <v>#N/A</v>
      </c>
      <c r="V227" s="50" t="e">
        <f t="shared" ca="1" si="238"/>
        <v>#N/A</v>
      </c>
      <c r="W227" s="50" t="str">
        <f t="shared" ca="1" si="239"/>
        <v>$U$219:$U$220</v>
      </c>
      <c r="X227" s="214" t="str">
        <f t="shared" ca="1" si="240"/>
        <v>$V$219:$V$220</v>
      </c>
      <c r="AB227" s="51"/>
      <c r="AC227" s="51"/>
      <c r="AD227" s="51"/>
      <c r="AE227" s="48"/>
      <c r="AF227" s="48"/>
      <c r="AG227" s="50"/>
      <c r="AH227" s="50"/>
      <c r="AI227" s="51"/>
      <c r="AJ227" s="50"/>
      <c r="AK227" s="55"/>
      <c r="AL227" s="55"/>
      <c r="AM227" s="51"/>
      <c r="AN227" s="51"/>
      <c r="AO227" s="51"/>
      <c r="AP227" s="48"/>
      <c r="AQ227" s="48"/>
      <c r="AR227" s="50"/>
      <c r="AS227" s="50"/>
      <c r="AT227" s="51"/>
      <c r="AU227" s="50"/>
      <c r="AV227" s="55"/>
      <c r="AW227" s="55"/>
      <c r="AX227" s="50"/>
      <c r="AY227" s="51"/>
      <c r="AZ227" s="51"/>
      <c r="BA227" s="48"/>
      <c r="BB227" s="48"/>
      <c r="BC227" s="50"/>
      <c r="BD227" s="50"/>
      <c r="BP227" s="53"/>
      <c r="BQ227" s="52"/>
      <c r="BR227" s="54"/>
      <c r="BS227" s="50"/>
      <c r="BT227" s="55"/>
      <c r="BU227" s="55"/>
      <c r="BV227" s="51"/>
      <c r="BW227" s="51"/>
      <c r="BX227" s="51"/>
      <c r="BY227" s="48"/>
      <c r="BZ227" s="48"/>
      <c r="CA227" s="50"/>
      <c r="CB227" s="52"/>
      <c r="CC227" s="54"/>
      <c r="CD227" s="50"/>
      <c r="CE227" s="55"/>
      <c r="CF227" s="55"/>
      <c r="CG227" s="51"/>
      <c r="CH227" s="51"/>
      <c r="CI227" s="51"/>
      <c r="CJ227" s="48"/>
      <c r="CK227" s="48"/>
      <c r="CL227" s="50"/>
      <c r="CM227" s="52"/>
      <c r="CN227" s="54"/>
      <c r="CO227" s="50"/>
      <c r="CP227" s="55"/>
      <c r="CQ227" s="55"/>
      <c r="CR227" s="51"/>
      <c r="CS227" s="51"/>
      <c r="CT227" s="51"/>
      <c r="CU227" s="48"/>
      <c r="CV227" s="48"/>
      <c r="CW227" s="50"/>
      <c r="CX227" s="50"/>
      <c r="CY227" s="54"/>
      <c r="CZ227" s="50"/>
      <c r="DA227" s="55"/>
      <c r="DB227" s="55"/>
      <c r="DC227" s="50"/>
      <c r="DD227" s="51"/>
      <c r="DE227" s="51"/>
      <c r="DF227" s="48"/>
      <c r="DG227" s="48"/>
      <c r="DH227" s="50"/>
      <c r="DI227" s="52"/>
    </row>
    <row r="228" spans="10:113" x14ac:dyDescent="0.25">
      <c r="J228" s="517">
        <v>12</v>
      </c>
      <c r="K228" s="53" t="e">
        <v>#N/A</v>
      </c>
      <c r="L228" s="47" t="e">
        <v>#N/A</v>
      </c>
      <c r="M228" s="54" t="e">
        <v>#N/A</v>
      </c>
      <c r="N228" s="50" t="e">
        <v>#N/A</v>
      </c>
      <c r="O228" s="55" t="e">
        <f ca="1"/>
        <v>#N/A</v>
      </c>
      <c r="P228" s="50" t="e">
        <f t="shared" ca="1" si="241"/>
        <v>#N/A</v>
      </c>
      <c r="Q228" s="534" t="e">
        <f ca="1">IF(O228=1,δ_0*(SLOPE(INDIRECT(VLOOKUP(S228,$S$216:$X$228,5,FALSE)),INDIRECT(VLOOKUP(S228,$S$216:$X$228,6,FALSE)))-SLOPE(INDIRECT(VLOOKUP(S228-1,$S$216:$X$228,5,FALSE)),INDIRECT(VLOOKUP(S228-1,$S$216:$X$228,6,FALSE)))),0)*86400*VLOOKUP($L$213,Aux!$AL$72:$AN$83,3,FALSE)</f>
        <v>#N/A</v>
      </c>
      <c r="R228" s="534">
        <f t="shared" ca="1" si="243"/>
        <v>0</v>
      </c>
      <c r="S228" s="535" cm="1">
        <f t="array" aca="1" ref="S228" ca="1">SUM(IF(ISNUMBER(T$216:T228),1,0))+IF($J228&gt;Capas_VN_C1,1,0)</f>
        <v>4</v>
      </c>
      <c r="T228" s="50" t="e">
        <f t="shared" ca="1" si="242"/>
        <v>#N/A</v>
      </c>
      <c r="U228" s="50" t="e">
        <f t="shared" ca="1" si="237"/>
        <v>#N/A</v>
      </c>
      <c r="V228" s="50" t="e">
        <f t="shared" ca="1" si="238"/>
        <v>#N/A</v>
      </c>
      <c r="W228" s="50" t="str">
        <f t="shared" ca="1" si="239"/>
        <v>$U$219:$U$220</v>
      </c>
      <c r="X228" s="214" t="str">
        <f t="shared" ca="1" si="240"/>
        <v>$V$219:$V$220</v>
      </c>
      <c r="AB228" s="51"/>
      <c r="AC228" s="51"/>
      <c r="AD228" s="51"/>
      <c r="AE228" s="48"/>
      <c r="AF228" s="48"/>
      <c r="AG228" s="50"/>
      <c r="AH228" s="50"/>
      <c r="AI228" s="51"/>
      <c r="AJ228" s="50"/>
      <c r="AK228" s="55"/>
      <c r="AL228" s="55"/>
      <c r="AM228" s="51"/>
      <c r="AN228" s="51"/>
      <c r="AO228" s="51"/>
      <c r="AP228" s="48"/>
      <c r="AQ228" s="48"/>
      <c r="AR228" s="50"/>
      <c r="AS228" s="50"/>
      <c r="AT228" s="51"/>
      <c r="AU228" s="50"/>
      <c r="AV228" s="55"/>
      <c r="AW228" s="55"/>
      <c r="AX228" s="50"/>
      <c r="AY228" s="51"/>
      <c r="AZ228" s="51"/>
      <c r="BA228" s="48"/>
      <c r="BB228" s="48"/>
      <c r="BC228" s="50"/>
      <c r="BD228" s="50"/>
      <c r="BP228" s="53"/>
      <c r="BQ228" s="52"/>
      <c r="BR228" s="54"/>
      <c r="BS228" s="50"/>
      <c r="BT228" s="55"/>
      <c r="BU228" s="55"/>
      <c r="BV228" s="51"/>
      <c r="BW228" s="51"/>
      <c r="BX228" s="51"/>
      <c r="BY228" s="48"/>
      <c r="BZ228" s="48"/>
      <c r="CA228" s="50"/>
      <c r="CB228" s="52"/>
      <c r="CC228" s="54"/>
      <c r="CD228" s="50"/>
      <c r="CE228" s="55"/>
      <c r="CF228" s="55"/>
      <c r="CG228" s="51"/>
      <c r="CH228" s="51"/>
      <c r="CI228" s="51"/>
      <c r="CJ228" s="48"/>
      <c r="CK228" s="48"/>
      <c r="CL228" s="50"/>
      <c r="CM228" s="52"/>
      <c r="CN228" s="54"/>
      <c r="CO228" s="50"/>
      <c r="CP228" s="55"/>
      <c r="CQ228" s="55"/>
      <c r="CR228" s="51"/>
      <c r="CS228" s="51"/>
      <c r="CT228" s="51"/>
      <c r="CU228" s="48"/>
      <c r="CV228" s="48"/>
      <c r="CW228" s="50"/>
      <c r="CX228" s="50"/>
      <c r="CY228" s="54"/>
      <c r="CZ228" s="50"/>
      <c r="DA228" s="55"/>
      <c r="DB228" s="55"/>
      <c r="DC228" s="50"/>
      <c r="DD228" s="51"/>
      <c r="DE228" s="51"/>
      <c r="DF228" s="48"/>
      <c r="DG228" s="48"/>
      <c r="DH228" s="50"/>
      <c r="DI228" s="52"/>
    </row>
    <row r="229" spans="10:113" ht="15.75" thickBot="1" x14ac:dyDescent="0.3">
      <c r="J229" s="517"/>
      <c r="K229" s="53"/>
      <c r="L229" s="52"/>
      <c r="M229" s="62"/>
      <c r="N229" s="65"/>
      <c r="O229" s="65"/>
      <c r="P229" s="58"/>
      <c r="Q229" s="65"/>
      <c r="R229" s="65"/>
      <c r="S229" s="62"/>
      <c r="T229" s="65"/>
      <c r="U229" s="65"/>
      <c r="V229" s="65"/>
      <c r="W229" s="65"/>
      <c r="X229" s="61"/>
      <c r="AB229" s="51"/>
      <c r="AC229" s="51"/>
      <c r="AD229" s="51"/>
      <c r="AE229" s="48"/>
      <c r="AF229" s="48"/>
      <c r="AG229" s="50"/>
      <c r="AH229" s="50"/>
      <c r="AI229" s="51"/>
      <c r="AJ229" s="50"/>
      <c r="AK229" s="55"/>
      <c r="AL229" s="55"/>
      <c r="AM229" s="51"/>
      <c r="AN229" s="51"/>
      <c r="AO229" s="51"/>
      <c r="AP229" s="48"/>
      <c r="AQ229" s="48"/>
      <c r="AR229" s="50"/>
      <c r="AS229" s="50"/>
      <c r="AT229" s="51"/>
      <c r="AU229" s="50"/>
      <c r="AV229" s="55"/>
      <c r="AW229" s="55"/>
      <c r="AX229" s="50"/>
      <c r="AY229" s="51"/>
      <c r="AZ229" s="51"/>
      <c r="BA229" s="48"/>
      <c r="BB229" s="48"/>
      <c r="BC229" s="50"/>
      <c r="BD229" s="50"/>
      <c r="BP229" s="53"/>
      <c r="BQ229" s="52"/>
      <c r="BR229" s="54"/>
      <c r="BS229" s="50"/>
      <c r="BT229" s="55"/>
      <c r="BU229" s="55"/>
      <c r="BV229" s="51"/>
      <c r="BW229" s="51"/>
      <c r="BX229" s="51"/>
      <c r="BY229" s="48"/>
      <c r="BZ229" s="48"/>
      <c r="CA229" s="50"/>
      <c r="CB229" s="52"/>
      <c r="CC229" s="54"/>
      <c r="CD229" s="50"/>
      <c r="CE229" s="55"/>
      <c r="CF229" s="55"/>
      <c r="CG229" s="51"/>
      <c r="CH229" s="51"/>
      <c r="CI229" s="51"/>
      <c r="CJ229" s="48"/>
      <c r="CK229" s="48"/>
      <c r="CL229" s="50"/>
      <c r="CM229" s="52"/>
      <c r="CN229" s="54"/>
      <c r="CO229" s="50"/>
      <c r="CP229" s="55"/>
      <c r="CQ229" s="55"/>
      <c r="CR229" s="51"/>
      <c r="CS229" s="51"/>
      <c r="CT229" s="51"/>
      <c r="CU229" s="48"/>
      <c r="CV229" s="48"/>
      <c r="CW229" s="50"/>
      <c r="CX229" s="50"/>
      <c r="CY229" s="54"/>
      <c r="CZ229" s="50"/>
      <c r="DA229" s="55"/>
      <c r="DB229" s="55"/>
      <c r="DC229" s="50"/>
      <c r="DD229" s="51"/>
      <c r="DE229" s="51"/>
      <c r="DF229" s="48"/>
      <c r="DG229" s="48"/>
      <c r="DH229" s="50"/>
      <c r="DI229" s="52"/>
    </row>
    <row r="230" spans="10:113" ht="15.75" thickBot="1" x14ac:dyDescent="0.3">
      <c r="K230" s="68" t="s">
        <v>145</v>
      </c>
      <c r="L230" s="505">
        <v>14</v>
      </c>
      <c r="M230" s="506" t="s">
        <v>275</v>
      </c>
      <c r="N230" s="507">
        <v>22</v>
      </c>
      <c r="O230" s="36" t="s">
        <v>735</v>
      </c>
      <c r="P230" s="513">
        <v>604.68451513651371</v>
      </c>
      <c r="Y230" s="50"/>
      <c r="Z230" s="50"/>
      <c r="AA230" s="55"/>
      <c r="AI230" s="50"/>
      <c r="AK230" s="50"/>
      <c r="AL230" s="55"/>
      <c r="AT230" s="50"/>
      <c r="BP230" s="62"/>
      <c r="BQ230" s="63"/>
      <c r="BR230" s="62"/>
      <c r="BS230" s="65"/>
      <c r="BT230" s="64"/>
      <c r="BU230" s="58"/>
      <c r="BV230" s="58"/>
      <c r="BW230" s="58"/>
      <c r="BX230" s="58"/>
      <c r="BY230" s="58"/>
      <c r="BZ230" s="58"/>
      <c r="CA230" s="58"/>
      <c r="CB230" s="61"/>
      <c r="CC230" s="62"/>
      <c r="CD230" s="65"/>
      <c r="CE230" s="64"/>
      <c r="CF230" s="58"/>
      <c r="CG230" s="58"/>
      <c r="CH230" s="58"/>
      <c r="CI230" s="58"/>
      <c r="CJ230" s="58"/>
      <c r="CK230" s="58"/>
      <c r="CL230" s="58"/>
      <c r="CM230" s="61"/>
      <c r="CN230" s="62"/>
      <c r="CO230" s="58"/>
      <c r="CP230" s="65"/>
      <c r="CQ230" s="64"/>
      <c r="CR230" s="58"/>
      <c r="CS230" s="58"/>
      <c r="CT230" s="58"/>
      <c r="CU230" s="58"/>
      <c r="CV230" s="58"/>
      <c r="CW230" s="58"/>
      <c r="CX230" s="58"/>
      <c r="CY230" s="62"/>
      <c r="CZ230" s="58"/>
      <c r="DA230" s="58"/>
      <c r="DB230" s="58"/>
      <c r="DC230" s="58"/>
      <c r="DD230" s="58"/>
      <c r="DE230" s="58"/>
      <c r="DF230" s="58"/>
      <c r="DG230" s="58"/>
      <c r="DH230" s="58"/>
      <c r="DI230" s="61"/>
    </row>
    <row r="231" spans="10:113" x14ac:dyDescent="0.25">
      <c r="K231" s="75" t="s">
        <v>144</v>
      </c>
      <c r="L231" s="22">
        <v>0.68</v>
      </c>
      <c r="M231" s="80" t="s">
        <v>771</v>
      </c>
      <c r="N231" s="508">
        <v>0.64</v>
      </c>
      <c r="O231" s="68" t="s">
        <v>780</v>
      </c>
      <c r="P231" s="507" t="b">
        <v>0</v>
      </c>
      <c r="U231" s="22"/>
      <c r="V231" s="22"/>
      <c r="Y231" s="22"/>
      <c r="Z231" s="28"/>
      <c r="AA231" s="48"/>
      <c r="AI231" s="22"/>
      <c r="AJ231" s="28"/>
      <c r="AK231" s="48"/>
      <c r="AT231" s="22"/>
      <c r="AU231" s="28"/>
      <c r="AV231" s="48"/>
      <c r="BP231" s="68" t="s">
        <v>144</v>
      </c>
      <c r="BQ231" s="73" t="e">
        <f>IF([0]!Casilla2,φe_H1_C1,VLOOKUP(Seccion1!provincia_C1,datos_humedad_julio[],$L$57+1,FALSE))</f>
        <v>#NAME?</v>
      </c>
      <c r="BR231" s="111"/>
      <c r="BS231" s="77" t="s">
        <v>160</v>
      </c>
      <c r="BT231" s="70"/>
      <c r="BU231" s="38"/>
      <c r="BV231" s="38"/>
      <c r="BW231" s="38"/>
      <c r="BX231" s="38"/>
      <c r="BY231" s="71"/>
      <c r="BZ231" s="71"/>
      <c r="CA231" s="38"/>
      <c r="CB231" s="72"/>
      <c r="CC231" s="111"/>
      <c r="CD231" s="77" t="s">
        <v>160</v>
      </c>
      <c r="CE231" s="67"/>
      <c r="CF231" s="38"/>
      <c r="CG231" s="38"/>
      <c r="CH231" s="38"/>
      <c r="CI231" s="38"/>
      <c r="CJ231" s="38"/>
      <c r="CK231" s="38"/>
      <c r="CL231" s="38"/>
      <c r="CM231" s="72"/>
      <c r="CN231" s="111"/>
      <c r="CO231" s="77" t="s">
        <v>160</v>
      </c>
      <c r="CP231" s="67"/>
      <c r="CQ231" s="38"/>
      <c r="CR231" s="38"/>
      <c r="CS231" s="38"/>
      <c r="CT231" s="38"/>
      <c r="CU231" s="38"/>
      <c r="CV231" s="38"/>
      <c r="CW231" s="38"/>
      <c r="CX231" s="38"/>
      <c r="CY231" s="111"/>
      <c r="CZ231" s="77" t="s">
        <v>160</v>
      </c>
      <c r="DA231" s="67"/>
      <c r="DB231" s="38"/>
      <c r="DC231" s="38"/>
      <c r="DD231" s="38"/>
      <c r="DE231" s="38"/>
      <c r="DF231" s="38"/>
      <c r="DG231" s="38"/>
      <c r="DH231" s="38"/>
      <c r="DI231" s="72"/>
    </row>
    <row r="232" spans="10:113" x14ac:dyDescent="0.25">
      <c r="K232" s="75" t="s">
        <v>108</v>
      </c>
      <c r="L232" s="79">
        <v>1597.7306774994004</v>
      </c>
      <c r="M232" s="80" t="s">
        <v>109</v>
      </c>
      <c r="N232" s="78">
        <v>2642.4083997439157</v>
      </c>
      <c r="O232" s="75" t="s">
        <v>782</v>
      </c>
      <c r="P232" s="508">
        <v>0</v>
      </c>
      <c r="U232" s="48"/>
      <c r="V232" s="48"/>
      <c r="Y232" s="82"/>
      <c r="Z232" s="80"/>
      <c r="AA232" s="48"/>
      <c r="AI232" s="82"/>
      <c r="AJ232" s="80"/>
      <c r="AK232" s="48"/>
      <c r="AT232" s="82"/>
      <c r="AU232" s="80"/>
      <c r="AV232" s="48"/>
      <c r="BP232" s="75" t="s">
        <v>145</v>
      </c>
      <c r="BQ232" s="76" t="e">
        <f>IF([0]!Casilla2,φe_H1_C1,VLOOKUP(Seccion1!provincia_C1,datos_temperatura_julio[],$L$57+1,FALSE))</f>
        <v>#NAME?</v>
      </c>
      <c r="BR232" s="112"/>
      <c r="BS232" s="80" t="s">
        <v>162</v>
      </c>
      <c r="BT232" s="17"/>
      <c r="BY232" s="48"/>
      <c r="BZ232" s="48"/>
      <c r="CB232" s="49"/>
      <c r="CC232" s="112"/>
      <c r="CD232" s="80" t="s">
        <v>162</v>
      </c>
      <c r="CE232" s="48"/>
      <c r="CM232" s="49"/>
      <c r="CN232" s="112"/>
      <c r="CO232" s="80" t="s">
        <v>162</v>
      </c>
      <c r="CP232" s="48"/>
      <c r="CY232" s="112"/>
      <c r="CZ232" s="80" t="s">
        <v>162</v>
      </c>
      <c r="DA232" s="48"/>
      <c r="DI232" s="49"/>
    </row>
    <row r="233" spans="10:113" ht="18.75" thickBot="1" x14ac:dyDescent="0.4">
      <c r="K233" s="486" t="s">
        <v>156</v>
      </c>
      <c r="L233" s="509">
        <v>1086.4568606995924</v>
      </c>
      <c r="M233" s="115" t="s">
        <v>781</v>
      </c>
      <c r="N233" s="487">
        <v>1691.1413758361061</v>
      </c>
      <c r="O233" s="75" t="s">
        <v>161</v>
      </c>
      <c r="P233" s="508">
        <v>2.0055472034935085E-11</v>
      </c>
      <c r="Y233" s="79"/>
      <c r="Z233" s="80"/>
      <c r="AA233" s="79"/>
      <c r="AI233" s="79"/>
      <c r="AJ233" s="80"/>
      <c r="AK233" s="79"/>
      <c r="AT233" s="79"/>
      <c r="AU233" s="80"/>
      <c r="AV233" s="79"/>
      <c r="BP233" s="75" t="s">
        <v>108</v>
      </c>
      <c r="BQ233" s="78">
        <f ca="1">IF(ISNUMBER(ϴe_H3_C1),IF(ϴe_H3_C1&gt;=0,610.5*EXP((17.269*ϴe_H3_C1)/(237.3+ϴe_H3_C1)),610.5*EXP((21.875*ϴe_H3_C1)/(265.5+ϴe_H3_C1))),NA())</f>
        <v>871.86452524041533</v>
      </c>
      <c r="BR233" s="113"/>
      <c r="BS233" s="80" t="s">
        <v>125</v>
      </c>
      <c r="BT233" s="79"/>
      <c r="CB233" s="49"/>
      <c r="CC233" s="113"/>
      <c r="CD233" s="80" t="s">
        <v>125</v>
      </c>
      <c r="CE233" s="79"/>
      <c r="CM233" s="49"/>
      <c r="CN233" s="113"/>
      <c r="CO233" s="80" t="s">
        <v>125</v>
      </c>
      <c r="CP233" s="79"/>
      <c r="CY233" s="113"/>
      <c r="CZ233" s="80" t="s">
        <v>125</v>
      </c>
      <c r="DA233" s="79"/>
      <c r="DI233" s="49"/>
    </row>
    <row r="234" spans="10:113" ht="18" x14ac:dyDescent="0.35">
      <c r="K234" s="68" t="s">
        <v>779</v>
      </c>
      <c r="L234" s="70" t="b">
        <v>0</v>
      </c>
      <c r="M234" s="38"/>
      <c r="N234" s="72"/>
      <c r="O234" s="75" t="s">
        <v>628</v>
      </c>
      <c r="P234" s="49"/>
      <c r="Y234" s="79"/>
      <c r="Z234" s="80"/>
      <c r="AA234" s="82"/>
      <c r="AI234" s="79"/>
      <c r="AJ234" s="80"/>
      <c r="AK234" s="82"/>
      <c r="AT234" s="79"/>
      <c r="AU234" s="80"/>
      <c r="AV234" s="82"/>
      <c r="BP234" s="81" t="s">
        <v>109</v>
      </c>
      <c r="BQ234" s="78" t="e">
        <f>IF(ISNUMBER([0]!ϴi_C1),IF([0]!ϴi_C1&gt;=0,610.5*EXP((17.269*[0]!ϴi_C1)/(237.3+[0]!ϴi_C1)),610.5*EXP((21.875*[0]!ϴi_C1)/(265.5+[0]!ϴi_C1))),NA())</f>
        <v>#N/A</v>
      </c>
      <c r="BR234" s="113"/>
      <c r="BS234" s="80" t="s">
        <v>126</v>
      </c>
      <c r="BT234" s="82"/>
      <c r="CB234" s="49"/>
      <c r="CC234" s="113"/>
      <c r="CD234" s="80" t="s">
        <v>126</v>
      </c>
      <c r="CE234" s="82"/>
      <c r="CM234" s="49"/>
      <c r="CN234" s="113"/>
      <c r="CO234" s="80" t="s">
        <v>126</v>
      </c>
      <c r="CP234" s="82"/>
      <c r="CY234" s="113"/>
      <c r="CZ234" s="80" t="s">
        <v>126</v>
      </c>
      <c r="DA234" s="82"/>
      <c r="DI234" s="49"/>
    </row>
    <row r="235" spans="10:113" ht="18" x14ac:dyDescent="0.35">
      <c r="K235" s="75" t="s">
        <v>125</v>
      </c>
      <c r="L235" s="79">
        <v>2113.9267197951326</v>
      </c>
      <c r="M235" s="80" t="s">
        <v>126</v>
      </c>
      <c r="N235" s="76">
        <v>18.389766628037634</v>
      </c>
      <c r="O235" s="43"/>
      <c r="P235" s="49"/>
      <c r="Y235" s="79"/>
      <c r="Z235" s="80"/>
      <c r="AA235" s="83"/>
      <c r="AI235" s="79"/>
      <c r="AJ235" s="80"/>
      <c r="AK235" s="83"/>
      <c r="AT235" s="79"/>
      <c r="AU235" s="80"/>
      <c r="AV235" s="83"/>
      <c r="BP235" s="75" t="s">
        <v>156</v>
      </c>
      <c r="BQ235" s="78">
        <f ca="1">P_sat_e_VN_C1*φe_H3_C1</f>
        <v>767.24078221156549</v>
      </c>
      <c r="BR235" s="113"/>
      <c r="BS235" s="80" t="s">
        <v>127</v>
      </c>
      <c r="BT235" s="83"/>
      <c r="CB235" s="49"/>
      <c r="CC235" s="113"/>
      <c r="CD235" s="80" t="s">
        <v>127</v>
      </c>
      <c r="CE235" s="83"/>
      <c r="CM235" s="49"/>
      <c r="CN235" s="113"/>
      <c r="CO235" s="80" t="s">
        <v>127</v>
      </c>
      <c r="CP235" s="83"/>
      <c r="CY235" s="113"/>
      <c r="CZ235" s="80" t="s">
        <v>127</v>
      </c>
      <c r="DA235" s="83"/>
      <c r="DI235" s="49"/>
    </row>
    <row r="236" spans="10:113" ht="18.75" thickBot="1" x14ac:dyDescent="0.4">
      <c r="K236" s="486" t="s">
        <v>127</v>
      </c>
      <c r="L236" s="512">
        <v>0.54872082850470427</v>
      </c>
      <c r="M236" s="115" t="s">
        <v>122</v>
      </c>
      <c r="N236" s="510">
        <v>0.28807002009255189</v>
      </c>
      <c r="O236" s="57"/>
      <c r="P236" s="61"/>
      <c r="Y236" s="22"/>
      <c r="Z236" s="80"/>
      <c r="AA236" s="22"/>
      <c r="AI236" s="22"/>
      <c r="AJ236" s="80"/>
      <c r="AK236" s="22"/>
      <c r="AT236" s="22"/>
      <c r="AU236" s="80"/>
      <c r="AV236" s="22"/>
      <c r="BP236" s="75"/>
      <c r="BR236" s="114"/>
      <c r="BS236" s="80" t="s">
        <v>122</v>
      </c>
      <c r="BT236" s="22"/>
      <c r="CB236" s="49"/>
      <c r="CC236" s="114"/>
      <c r="CD236" s="80" t="s">
        <v>122</v>
      </c>
      <c r="CE236" s="22"/>
      <c r="CM236" s="49"/>
      <c r="CN236" s="114"/>
      <c r="CO236" s="80" t="s">
        <v>122</v>
      </c>
      <c r="CP236" s="22"/>
      <c r="CY236" s="114"/>
      <c r="CZ236" s="80" t="s">
        <v>122</v>
      </c>
      <c r="DA236" s="22"/>
      <c r="DI236" s="49"/>
    </row>
    <row r="237" spans="10:113" x14ac:dyDescent="0.25">
      <c r="K237" s="80"/>
      <c r="N237" s="28"/>
      <c r="O237" s="17"/>
      <c r="Z237" s="28"/>
      <c r="AA237" s="17"/>
      <c r="AJ237" s="28"/>
      <c r="AK237" s="17"/>
      <c r="AU237" s="28"/>
      <c r="AV237" s="17"/>
      <c r="BP237" s="43"/>
      <c r="BQ237" s="49"/>
      <c r="BR237" s="43"/>
      <c r="BS237" s="28" t="s">
        <v>159</v>
      </c>
      <c r="BT237" s="17"/>
      <c r="CB237" s="49"/>
      <c r="CC237" s="43"/>
      <c r="CD237" s="28" t="s">
        <v>159</v>
      </c>
      <c r="CE237" s="17"/>
      <c r="CM237" s="49"/>
      <c r="CN237" s="43"/>
      <c r="CO237" s="28" t="s">
        <v>159</v>
      </c>
      <c r="CP237" s="17"/>
      <c r="CY237" s="43"/>
      <c r="CZ237" s="28" t="s">
        <v>159</v>
      </c>
      <c r="DA237" s="17"/>
      <c r="DI237" s="49"/>
    </row>
    <row r="238" spans="10:113" ht="15.75" thickBot="1" x14ac:dyDescent="0.3">
      <c r="K238" s="80"/>
      <c r="N238" s="80"/>
      <c r="Z238" s="80"/>
      <c r="AA238" s="17"/>
      <c r="AJ238" s="80"/>
      <c r="AK238" s="17"/>
      <c r="AU238" s="80"/>
      <c r="AV238" s="17"/>
      <c r="BP238" s="57"/>
      <c r="BQ238" s="61"/>
      <c r="BR238" s="57"/>
      <c r="BS238" s="115" t="s">
        <v>161</v>
      </c>
      <c r="BT238" s="58"/>
      <c r="BU238" s="58"/>
      <c r="BV238" s="58"/>
      <c r="BW238" s="58"/>
      <c r="BX238" s="58"/>
      <c r="BY238" s="58"/>
      <c r="BZ238" s="58"/>
      <c r="CA238" s="58"/>
      <c r="CB238" s="61"/>
      <c r="CC238" s="57"/>
      <c r="CD238" s="115" t="s">
        <v>161</v>
      </c>
      <c r="CE238" s="84"/>
      <c r="CF238" s="58"/>
      <c r="CG238" s="58"/>
      <c r="CH238" s="58"/>
      <c r="CI238" s="58"/>
      <c r="CJ238" s="58"/>
      <c r="CK238" s="58"/>
      <c r="CL238" s="58"/>
      <c r="CM238" s="61"/>
      <c r="CN238" s="57"/>
      <c r="CO238" s="115" t="s">
        <v>161</v>
      </c>
      <c r="CP238" s="84"/>
      <c r="CQ238" s="58"/>
      <c r="CR238" s="58"/>
      <c r="CS238" s="58"/>
      <c r="CT238" s="58"/>
      <c r="CU238" s="58"/>
      <c r="CV238" s="58"/>
      <c r="CW238" s="58"/>
      <c r="CX238" s="58"/>
      <c r="CY238" s="57"/>
      <c r="CZ238" s="115" t="s">
        <v>161</v>
      </c>
      <c r="DA238" s="84"/>
      <c r="DB238" s="58"/>
      <c r="DC238" s="58"/>
      <c r="DD238" s="58"/>
      <c r="DE238" s="58"/>
      <c r="DF238" s="58"/>
      <c r="DG238" s="58"/>
      <c r="DH238" s="58"/>
      <c r="DI238" s="61"/>
    </row>
    <row r="239" spans="10:113" ht="15.75" thickBot="1" x14ac:dyDescent="0.3">
      <c r="K239" s="516" t="s">
        <v>179</v>
      </c>
      <c r="L239" s="30">
        <v>6</v>
      </c>
      <c r="M239" s="110" t="str">
        <f>VLOOKUP(L239,Aux!$AL$72:$AM$83,2,FALSE)</f>
        <v>Junio</v>
      </c>
      <c r="N239" s="32"/>
      <c r="O239" s="32"/>
      <c r="P239" s="32"/>
      <c r="Q239" s="540"/>
      <c r="R239" s="32"/>
      <c r="S239" s="32"/>
      <c r="T239" s="32"/>
      <c r="U239" s="32"/>
      <c r="V239" s="32"/>
      <c r="W239" s="32"/>
      <c r="X239" s="33"/>
    </row>
    <row r="240" spans="10:113" ht="15.75" thickBot="1" x14ac:dyDescent="0.3">
      <c r="K240" s="42" t="s">
        <v>120</v>
      </c>
      <c r="L240" s="41" t="s">
        <v>121</v>
      </c>
      <c r="M240" s="515" t="s">
        <v>265</v>
      </c>
      <c r="N240" s="35" t="s">
        <v>146</v>
      </c>
      <c r="O240" s="35" t="s">
        <v>806</v>
      </c>
      <c r="P240" s="35" t="s">
        <v>167</v>
      </c>
      <c r="Q240" s="35" t="s">
        <v>807</v>
      </c>
      <c r="R240" s="35" t="s">
        <v>783</v>
      </c>
      <c r="S240" s="532" t="s">
        <v>170</v>
      </c>
      <c r="T240" s="40" t="s">
        <v>178</v>
      </c>
      <c r="U240" s="40" t="s">
        <v>169</v>
      </c>
      <c r="V240" s="40" t="s">
        <v>168</v>
      </c>
      <c r="W240" s="40" t="s">
        <v>175</v>
      </c>
      <c r="X240" s="41" t="s">
        <v>176</v>
      </c>
      <c r="AB240" s="80"/>
      <c r="AG240" s="80"/>
      <c r="AH240" s="17"/>
      <c r="AI240" s="17"/>
      <c r="AJ240" s="80"/>
      <c r="AK240" s="22"/>
      <c r="AM240" s="80"/>
      <c r="AN240" s="80"/>
      <c r="AO240" s="80"/>
      <c r="AP240" s="80"/>
      <c r="AQ240" s="80"/>
      <c r="AR240" s="80"/>
      <c r="AS240" s="17"/>
      <c r="AT240" s="17"/>
      <c r="AU240" s="80"/>
      <c r="AV240" s="22"/>
      <c r="AX240" s="80"/>
      <c r="AY240" s="80"/>
      <c r="AZ240" s="80"/>
      <c r="BA240" s="80"/>
      <c r="BB240" s="80"/>
      <c r="BC240" s="80"/>
      <c r="BD240" s="17"/>
      <c r="BP240" s="29" t="s">
        <v>179</v>
      </c>
      <c r="BQ240" s="30">
        <v>7</v>
      </c>
      <c r="BR240" s="110"/>
      <c r="BS240" s="34" t="s">
        <v>163</v>
      </c>
      <c r="BT240" s="31">
        <f ca="1">P_sat_i_VN_C1*VLOOKUP(1,φi[],2,FALSE)</f>
        <v>1519.0182434715223</v>
      </c>
      <c r="BU240" s="32"/>
      <c r="BV240" s="32"/>
      <c r="BW240" s="32"/>
      <c r="BX240" s="32"/>
      <c r="BY240" s="32"/>
      <c r="BZ240" s="32"/>
      <c r="CA240" s="34" t="s">
        <v>267</v>
      </c>
      <c r="CB240" s="30">
        <f>VLOOKUP(1,φi[],2,FALSE)</f>
        <v>0.65</v>
      </c>
      <c r="CC240" s="110"/>
      <c r="CD240" s="34" t="s">
        <v>164</v>
      </c>
      <c r="CE240" s="31">
        <f ca="1">P_sat_i_VN_C1*VLOOKUP(2,φi[],2,FALSE)</f>
        <v>1752.7133578517564</v>
      </c>
      <c r="CF240" s="34"/>
      <c r="CG240" s="34"/>
      <c r="CH240" s="32"/>
      <c r="CI240" s="32"/>
      <c r="CJ240" s="32"/>
      <c r="CK240" s="32"/>
      <c r="CL240" s="34" t="s">
        <v>268</v>
      </c>
      <c r="CM240" s="30">
        <f>VLOOKUP(2,φi[],2,FALSE)</f>
        <v>0.75</v>
      </c>
      <c r="CN240" s="110"/>
      <c r="CO240" s="34" t="s">
        <v>165</v>
      </c>
      <c r="CP240" s="31">
        <f ca="1">P_sat_i_VN_C1*VLOOKUP(3,φi[],2,FALSE)</f>
        <v>1869.5609150418736</v>
      </c>
      <c r="CQ240" s="32"/>
      <c r="CR240" s="34"/>
      <c r="CS240" s="34"/>
      <c r="CT240" s="34"/>
      <c r="CU240" s="34"/>
      <c r="CV240" s="34"/>
      <c r="CW240" s="34" t="s">
        <v>269</v>
      </c>
      <c r="CX240" s="116">
        <f>VLOOKUP(3,φi[],2,FALSE)</f>
        <v>0.8</v>
      </c>
      <c r="CY240" s="110"/>
      <c r="CZ240" s="34" t="s">
        <v>166</v>
      </c>
      <c r="DA240" s="31">
        <f ca="1">P_sat_i_VN_C1*Seccion1!φi_C1</f>
        <v>747.82436601674965</v>
      </c>
      <c r="DB240" s="32"/>
      <c r="DC240" s="34"/>
      <c r="DD240" s="34"/>
      <c r="DE240" s="34"/>
      <c r="DF240" s="34"/>
      <c r="DG240" s="34"/>
      <c r="DH240" s="34" t="s">
        <v>154</v>
      </c>
      <c r="DI240" s="30"/>
    </row>
    <row r="241" spans="10:113" x14ac:dyDescent="0.25">
      <c r="J241" s="517"/>
      <c r="K241" s="46">
        <v>18</v>
      </c>
      <c r="L241" s="47">
        <v>2062.8300099568878</v>
      </c>
      <c r="M241" s="54"/>
      <c r="N241" s="44" t="s">
        <v>107</v>
      </c>
      <c r="O241" s="44" t="e">
        <v>#N/A</v>
      </c>
      <c r="P241" s="15" t="e">
        <v>#N/A</v>
      </c>
      <c r="Q241" s="541"/>
      <c r="R241" s="44"/>
      <c r="S241" s="533"/>
      <c r="T241" s="44"/>
      <c r="U241" s="44"/>
      <c r="V241" s="44"/>
      <c r="W241" s="44"/>
      <c r="X241" s="531"/>
      <c r="AB241" s="35"/>
      <c r="AC241" s="35"/>
      <c r="AD241" s="35"/>
      <c r="AE241" s="35"/>
      <c r="AF241" s="35"/>
      <c r="AG241" s="35"/>
      <c r="AH241" s="35"/>
      <c r="AI241" s="511"/>
      <c r="AJ241" s="35"/>
      <c r="AK241" s="35"/>
      <c r="AL241" s="35"/>
      <c r="AM241" s="35"/>
      <c r="AN241" s="35"/>
      <c r="AO241" s="35"/>
      <c r="AP241" s="35"/>
      <c r="AQ241" s="35"/>
      <c r="AR241" s="35"/>
      <c r="AS241" s="35"/>
      <c r="AT241" s="511"/>
      <c r="AU241" s="35"/>
      <c r="AV241" s="35"/>
      <c r="AW241" s="35"/>
      <c r="AX241" s="35"/>
      <c r="AY241" s="35"/>
      <c r="AZ241" s="35"/>
      <c r="BA241" s="35"/>
      <c r="BB241" s="35"/>
      <c r="BC241" s="35"/>
      <c r="BD241" s="35"/>
      <c r="BP241" s="42" t="s">
        <v>120</v>
      </c>
      <c r="BQ241" s="41" t="s">
        <v>121</v>
      </c>
      <c r="BR241" s="42" t="s">
        <v>265</v>
      </c>
      <c r="BS241" s="40" t="s">
        <v>146</v>
      </c>
      <c r="BT241" s="40" t="s">
        <v>147</v>
      </c>
      <c r="BU241" s="40" t="s">
        <v>170</v>
      </c>
      <c r="BV241" s="40" t="s">
        <v>178</v>
      </c>
      <c r="BW241" s="40" t="s">
        <v>169</v>
      </c>
      <c r="BX241" s="40" t="s">
        <v>168</v>
      </c>
      <c r="BY241" s="40" t="s">
        <v>175</v>
      </c>
      <c r="BZ241" s="40" t="s">
        <v>176</v>
      </c>
      <c r="CA241" s="40" t="s">
        <v>167</v>
      </c>
      <c r="CB241" s="41" t="s">
        <v>266</v>
      </c>
      <c r="CC241" s="42" t="s">
        <v>265</v>
      </c>
      <c r="CD241" s="40" t="s">
        <v>148</v>
      </c>
      <c r="CE241" s="40" t="s">
        <v>149</v>
      </c>
      <c r="CF241" s="40" t="s">
        <v>170</v>
      </c>
      <c r="CG241" s="40" t="s">
        <v>178</v>
      </c>
      <c r="CH241" s="40" t="s">
        <v>169</v>
      </c>
      <c r="CI241" s="40" t="s">
        <v>168</v>
      </c>
      <c r="CJ241" s="40" t="s">
        <v>175</v>
      </c>
      <c r="CK241" s="40" t="s">
        <v>176</v>
      </c>
      <c r="CL241" s="40" t="s">
        <v>171</v>
      </c>
      <c r="CM241" s="41" t="s">
        <v>266</v>
      </c>
      <c r="CN241" s="42" t="s">
        <v>265</v>
      </c>
      <c r="CO241" s="40" t="s">
        <v>150</v>
      </c>
      <c r="CP241" s="40" t="s">
        <v>151</v>
      </c>
      <c r="CQ241" s="40" t="s">
        <v>170</v>
      </c>
      <c r="CR241" s="40" t="s">
        <v>178</v>
      </c>
      <c r="CS241" s="40" t="s">
        <v>169</v>
      </c>
      <c r="CT241" s="40" t="s">
        <v>168</v>
      </c>
      <c r="CU241" s="40" t="s">
        <v>175</v>
      </c>
      <c r="CV241" s="40" t="s">
        <v>176</v>
      </c>
      <c r="CW241" s="40" t="s">
        <v>172</v>
      </c>
      <c r="CX241" s="41" t="s">
        <v>266</v>
      </c>
      <c r="CY241" s="42" t="s">
        <v>265</v>
      </c>
      <c r="CZ241" s="40" t="s">
        <v>152</v>
      </c>
      <c r="DA241" s="40" t="s">
        <v>153</v>
      </c>
      <c r="DB241" s="40" t="s">
        <v>170</v>
      </c>
      <c r="DC241" s="40" t="s">
        <v>178</v>
      </c>
      <c r="DD241" s="40" t="s">
        <v>169</v>
      </c>
      <c r="DE241" s="40" t="s">
        <v>168</v>
      </c>
      <c r="DF241" s="40" t="s">
        <v>175</v>
      </c>
      <c r="DG241" s="40" t="s">
        <v>176</v>
      </c>
      <c r="DH241" s="40" t="s">
        <v>177</v>
      </c>
      <c r="DI241" s="41" t="s">
        <v>266</v>
      </c>
    </row>
    <row r="242" spans="10:113" x14ac:dyDescent="0.25">
      <c r="J242" s="517"/>
      <c r="K242" s="53">
        <v>18.034707158351409</v>
      </c>
      <c r="L242" s="47">
        <v>2067.3356928857679</v>
      </c>
      <c r="M242" s="54">
        <v>12.254200412507714</v>
      </c>
      <c r="N242" s="50">
        <v>1423.3527068702524</v>
      </c>
      <c r="O242" s="55">
        <v>0</v>
      </c>
      <c r="P242" s="50">
        <f ca="1">IF(ISNA(T242),
_xlfn.FORECAST.LINEAR($J60,INDIRECT(W242),INDIRECT(X242)),T242)</f>
        <v>1423.3527068702524</v>
      </c>
      <c r="Q242" s="514"/>
      <c r="R242" s="50"/>
      <c r="S242" s="535" cm="1">
        <f t="array" ref="S242">SUM(IF(ISNUMBER(T$242:T242),1,0))+IF($J242&gt;Capas_VN_C1,1,0)</f>
        <v>1</v>
      </c>
      <c r="T242" s="50">
        <f>IF(O242=1,$L242,L259)</f>
        <v>1423.3527068702524</v>
      </c>
      <c r="U242" s="50">
        <f t="shared" ref="U242:U254" si="244">VLOOKUP($J243,$S$242:$T$254,2,FALSE)</f>
        <v>1423.3527068702524</v>
      </c>
      <c r="V242" s="50">
        <f t="shared" ref="V242:V254" si="245">INDEX($J$60:$J$72,MATCH(U242,T$242:T$254,0))</f>
        <v>0</v>
      </c>
      <c r="W242" s="50" t="str">
        <f t="shared" ref="W242:W254" si="246">CONCATENATE(ADDRESS(ROW(U$242)-1+S242,COLUMN(U$242)),":",ADDRESS(ROW(U$242)+S242,COLUMN(U$242)))</f>
        <v>$U$242:$U$243</v>
      </c>
      <c r="X242" s="214" t="str">
        <f t="shared" ref="X242:X254" si="247">CONCATENATE(ADDRESS(ROW(V$242)-1+S242,COLUMN(V$242)),":",ADDRESS(ROW(V$242)+S242,COLUMN(V$242)))</f>
        <v>$V$242:$V$243</v>
      </c>
      <c r="AC242" s="48"/>
      <c r="AD242" s="48"/>
      <c r="AE242" s="48"/>
      <c r="AF242" s="48"/>
      <c r="AI242" s="51"/>
      <c r="AJ242" s="44"/>
      <c r="AK242" s="44"/>
      <c r="AN242" s="48"/>
      <c r="AO242" s="48"/>
      <c r="AP242" s="48"/>
      <c r="AQ242" s="48"/>
      <c r="AT242" s="51"/>
      <c r="AU242" s="44"/>
      <c r="AV242" s="44"/>
      <c r="AY242" s="48"/>
      <c r="AZ242" s="48"/>
      <c r="BA242" s="48"/>
      <c r="BB242" s="48"/>
      <c r="BP242" s="46"/>
      <c r="BQ242" s="52"/>
      <c r="BR242" s="54"/>
      <c r="BS242" s="44"/>
      <c r="BT242" s="44"/>
      <c r="BW242" s="48"/>
      <c r="BX242" s="48"/>
      <c r="BY242" s="48"/>
      <c r="BZ242" s="48"/>
      <c r="CB242" s="49"/>
      <c r="CC242" s="54"/>
      <c r="CD242" s="44"/>
      <c r="CE242" s="44"/>
      <c r="CH242" s="48"/>
      <c r="CI242" s="48"/>
      <c r="CJ242" s="48"/>
      <c r="CK242" s="48"/>
      <c r="CM242" s="49"/>
      <c r="CN242" s="54"/>
      <c r="CO242" s="44"/>
      <c r="CP242" s="44"/>
      <c r="CS242" s="48"/>
      <c r="CT242" s="48"/>
      <c r="CU242" s="48"/>
      <c r="CV242" s="48"/>
      <c r="CY242" s="54"/>
      <c r="CZ242" s="44"/>
      <c r="DA242" s="44"/>
      <c r="DD242" s="48"/>
      <c r="DE242" s="48"/>
      <c r="DF242" s="48"/>
      <c r="DG242" s="48"/>
      <c r="DI242" s="49"/>
    </row>
    <row r="243" spans="10:113" x14ac:dyDescent="0.25">
      <c r="J243" s="15">
        <v>1</v>
      </c>
      <c r="K243" s="53">
        <v>18.078091106290671</v>
      </c>
      <c r="L243" s="47">
        <v>2072.9799097560885</v>
      </c>
      <c r="M243" s="54">
        <v>16.914150302843147</v>
      </c>
      <c r="N243" s="50">
        <v>1924.6099936703413</v>
      </c>
      <c r="O243" s="55">
        <f t="array" aca="1" ref="O243:O254" ca="1">IF((N243:N254&gt;=L243:L254)+(R217:R228&gt;0),1,0)</f>
        <v>1</v>
      </c>
      <c r="P243" s="50">
        <f t="shared" ref="P243:P254" ca="1" si="248">IF(ISNA(T243),
_xlfn.FORECAST.LINEAR($J61,INDIRECT(W243),INDIRECT(X243)),T243)</f>
        <v>2072.9799097560885</v>
      </c>
      <c r="Q243" s="534">
        <f ca="1">IF(O243=1,δ_0*(SLOPE(INDIRECT(VLOOKUP(S243,$S$242:$X$254,5,FALSE)),INDIRECT(VLOOKUP(S243,$S$242:$X$254,6,FALSE)))-SLOPE(INDIRECT(VLOOKUP(S243-1,$S$242:$X$254,5,FALSE)),INDIRECT(VLOOKUP(S243-1,$S$242:$X$254,6,FALSE)))),0)*86400*VLOOKUP($L$239,Aux!$AL$72:$AN$83,3,FALSE)</f>
        <v>-9.0049016759952981E-5</v>
      </c>
      <c r="R243" s="534">
        <f ca="1">IFERROR(IF(Q243+R217&lt;0,0,Q243+R217),0)</f>
        <v>9.8498294073744771E-4</v>
      </c>
      <c r="S243" s="535" cm="1">
        <f t="array" aca="1" ref="S243" ca="1">SUM(IF(ISNUMBER(T$242:T243),1,0))+IF($J243&gt;Capas_VN_C1,1,0)</f>
        <v>2</v>
      </c>
      <c r="T243" s="50">
        <f t="shared" ref="T243:T254" ca="1" si="249">IF(O243=1,$L243,IF(J243=Capas_VN_C1,$N$259,NA()))</f>
        <v>2072.9799097560885</v>
      </c>
      <c r="U243" s="50">
        <f t="shared" ca="1" si="244"/>
        <v>2072.9799097560885</v>
      </c>
      <c r="V243" s="50">
        <f t="shared" ca="1" si="245"/>
        <v>5000</v>
      </c>
      <c r="W243" s="50" t="str">
        <f t="shared" ca="1" si="246"/>
        <v>$U$243:$U$244</v>
      </c>
      <c r="X243" s="214" t="str">
        <f t="shared" ca="1" si="247"/>
        <v>$V$243:$V$244</v>
      </c>
      <c r="AB243" s="51"/>
      <c r="AC243" s="51"/>
      <c r="AD243" s="51"/>
      <c r="AE243" s="48"/>
      <c r="AF243" s="48"/>
      <c r="AG243" s="50"/>
      <c r="AH243" s="50"/>
      <c r="AI243" s="51"/>
      <c r="AJ243" s="50"/>
      <c r="AK243" s="55"/>
      <c r="AL243" s="55"/>
      <c r="AM243" s="51"/>
      <c r="AN243" s="51"/>
      <c r="AO243" s="51"/>
      <c r="AP243" s="48"/>
      <c r="AQ243" s="48"/>
      <c r="AR243" s="50"/>
      <c r="AS243" s="50"/>
      <c r="AT243" s="51"/>
      <c r="AU243" s="50"/>
      <c r="AV243" s="55"/>
      <c r="AW243" s="55"/>
      <c r="AX243" s="50"/>
      <c r="AY243" s="51"/>
      <c r="AZ243" s="51"/>
      <c r="BA243" s="48"/>
      <c r="BB243" s="48"/>
      <c r="BC243" s="50"/>
      <c r="BD243" s="50"/>
      <c r="BP243" s="53"/>
      <c r="BQ243" s="52"/>
      <c r="BR243" s="54"/>
      <c r="BS243" s="50"/>
      <c r="BT243" s="55"/>
      <c r="BU243" s="55"/>
      <c r="BV243" s="51"/>
      <c r="BW243" s="51"/>
      <c r="BX243" s="51"/>
      <c r="BY243" s="48"/>
      <c r="BZ243" s="48"/>
      <c r="CA243" s="50"/>
      <c r="CB243" s="52"/>
      <c r="CC243" s="54"/>
      <c r="CD243" s="50"/>
      <c r="CE243" s="55"/>
      <c r="CF243" s="55"/>
      <c r="CG243" s="51"/>
      <c r="CH243" s="51"/>
      <c r="CI243" s="51"/>
      <c r="CJ243" s="48"/>
      <c r="CK243" s="48"/>
      <c r="CL243" s="50"/>
      <c r="CM243" s="52"/>
      <c r="CN243" s="54"/>
      <c r="CO243" s="50"/>
      <c r="CP243" s="55"/>
      <c r="CQ243" s="55"/>
      <c r="CR243" s="51"/>
      <c r="CS243" s="51"/>
      <c r="CT243" s="51"/>
      <c r="CU243" s="48"/>
      <c r="CV243" s="48"/>
      <c r="CW243" s="50"/>
      <c r="CX243" s="50"/>
      <c r="CY243" s="54"/>
      <c r="CZ243" s="50"/>
      <c r="DA243" s="55"/>
      <c r="DB243" s="55"/>
      <c r="DC243" s="50"/>
      <c r="DD243" s="51"/>
      <c r="DE243" s="51"/>
      <c r="DF243" s="48"/>
      <c r="DG243" s="48"/>
      <c r="DH243" s="50"/>
      <c r="DI243" s="52"/>
    </row>
    <row r="244" spans="10:113" x14ac:dyDescent="0.25">
      <c r="J244" s="15">
        <v>2</v>
      </c>
      <c r="K244" s="53">
        <v>20.681127982646419</v>
      </c>
      <c r="L244" s="47">
        <v>2437.3152904146409</v>
      </c>
      <c r="M244" s="54">
        <v>16.926427751651193</v>
      </c>
      <c r="N244" s="50">
        <v>1926.1137655307416</v>
      </c>
      <c r="O244" s="55">
        <f ca="1"/>
        <v>0</v>
      </c>
      <c r="P244" s="50">
        <f t="shared" ca="1" si="248"/>
        <v>2072.3232063890528</v>
      </c>
      <c r="Q244" s="534">
        <f ca="1">IF(O244=1,δ_0*(SLOPE(INDIRECT(VLOOKUP(S244,$S$242:$X$254,5,FALSE)),INDIRECT(VLOOKUP(S244,$S$242:$X$254,6,FALSE)))-SLOPE(INDIRECT(VLOOKUP(S244-1,$S$242:$X$254,5,FALSE)),INDIRECT(VLOOKUP(S244-1,$S$242:$X$254,6,FALSE)))),0)*86400*VLOOKUP($L$239,Aux!$AL$72:$AN$83,3,FALSE)</f>
        <v>0</v>
      </c>
      <c r="R244" s="534">
        <f t="shared" ref="R244:R254" ca="1" si="250">IFERROR(IF(Q244+R218&lt;0,0,Q244+R218),0)</f>
        <v>0</v>
      </c>
      <c r="S244" s="535" cm="1">
        <f t="array" aca="1" ref="S244" ca="1">SUM(IF(ISNUMBER(T$242:T244),1,0))+IF($J244&gt;Capas_VN_C1,1,0)</f>
        <v>2</v>
      </c>
      <c r="T244" s="50" t="e">
        <f t="shared" ca="1" si="249"/>
        <v>#N/A</v>
      </c>
      <c r="U244" s="50">
        <f t="shared" ca="1" si="244"/>
        <v>2027.8810249260428</v>
      </c>
      <c r="V244" s="50">
        <f t="shared" ca="1" si="245"/>
        <v>6030.12</v>
      </c>
      <c r="W244" s="50" t="str">
        <f t="shared" ca="1" si="246"/>
        <v>$U$243:$U$244</v>
      </c>
      <c r="X244" s="214" t="str">
        <f t="shared" ca="1" si="247"/>
        <v>$V$243:$V$244</v>
      </c>
      <c r="AB244" s="51"/>
      <c r="AC244" s="51"/>
      <c r="AD244" s="51"/>
      <c r="AE244" s="48"/>
      <c r="AF244" s="48"/>
      <c r="AG244" s="50"/>
      <c r="AH244" s="50"/>
      <c r="AI244" s="51"/>
      <c r="AJ244" s="50"/>
      <c r="AK244" s="55"/>
      <c r="AL244" s="55"/>
      <c r="AM244" s="51"/>
      <c r="AN244" s="51"/>
      <c r="AO244" s="51"/>
      <c r="AP244" s="48"/>
      <c r="AQ244" s="48"/>
      <c r="AR244" s="50"/>
      <c r="AS244" s="50"/>
      <c r="AT244" s="51"/>
      <c r="AU244" s="50"/>
      <c r="AV244" s="55"/>
      <c r="AW244" s="55"/>
      <c r="AX244" s="50"/>
      <c r="AY244" s="51"/>
      <c r="AZ244" s="51"/>
      <c r="BA244" s="48"/>
      <c r="BB244" s="48"/>
      <c r="BC244" s="50"/>
      <c r="BD244" s="50"/>
      <c r="BP244" s="53"/>
      <c r="BQ244" s="52"/>
      <c r="BR244" s="54"/>
      <c r="BS244" s="50"/>
      <c r="BT244" s="55"/>
      <c r="BU244" s="55"/>
      <c r="BV244" s="51"/>
      <c r="BW244" s="51"/>
      <c r="BX244" s="51"/>
      <c r="BY244" s="48"/>
      <c r="BZ244" s="48"/>
      <c r="CA244" s="50"/>
      <c r="CB244" s="52"/>
      <c r="CC244" s="54"/>
      <c r="CD244" s="50"/>
      <c r="CE244" s="55"/>
      <c r="CF244" s="55"/>
      <c r="CG244" s="51"/>
      <c r="CH244" s="51"/>
      <c r="CI244" s="51"/>
      <c r="CJ244" s="48"/>
      <c r="CK244" s="48"/>
      <c r="CL244" s="50"/>
      <c r="CM244" s="52"/>
      <c r="CN244" s="54"/>
      <c r="CO244" s="50"/>
      <c r="CP244" s="55"/>
      <c r="CQ244" s="55"/>
      <c r="CR244" s="51"/>
      <c r="CS244" s="51"/>
      <c r="CT244" s="51"/>
      <c r="CU244" s="48"/>
      <c r="CV244" s="48"/>
      <c r="CW244" s="50"/>
      <c r="CX244" s="50"/>
      <c r="CY244" s="54"/>
      <c r="CZ244" s="50"/>
      <c r="DA244" s="55"/>
      <c r="DB244" s="55"/>
      <c r="DC244" s="50"/>
      <c r="DD244" s="51"/>
      <c r="DE244" s="51"/>
      <c r="DF244" s="48"/>
      <c r="DG244" s="48"/>
      <c r="DH244" s="50"/>
      <c r="DI244" s="52"/>
    </row>
    <row r="245" spans="10:113" x14ac:dyDescent="0.25">
      <c r="J245" s="15">
        <v>3</v>
      </c>
      <c r="K245" s="53">
        <v>20.681127982646419</v>
      </c>
      <c r="L245" s="47">
        <v>2437.3152904146409</v>
      </c>
      <c r="M245" s="54">
        <v>17.726481907065914</v>
      </c>
      <c r="N245" s="50">
        <v>2026.3652228907592</v>
      </c>
      <c r="O245" s="55">
        <f ca="1"/>
        <v>0</v>
      </c>
      <c r="P245" s="50">
        <f t="shared" ca="1" si="248"/>
        <v>2028.5429819200144</v>
      </c>
      <c r="Q245" s="534">
        <f ca="1">IF(O245=1,δ_0*(SLOPE(INDIRECT(VLOOKUP(S245,$S$242:$X$254,5,FALSE)),INDIRECT(VLOOKUP(S245,$S$242:$X$254,6,FALSE)))-SLOPE(INDIRECT(VLOOKUP(S245-1,$S$242:$X$254,5,FALSE)),INDIRECT(VLOOKUP(S245-1,$S$242:$X$254,6,FALSE)))),0)*86400*VLOOKUP($L$239,Aux!$AL$72:$AN$83,3,FALSE)</f>
        <v>0</v>
      </c>
      <c r="R245" s="534">
        <f t="shared" ca="1" si="250"/>
        <v>0</v>
      </c>
      <c r="S245" s="535" cm="1">
        <f t="array" aca="1" ref="S245" ca="1">SUM(IF(ISNUMBER(T$242:T245),1,0))+IF($J245&gt;Capas_VN_C1,1,0)</f>
        <v>2</v>
      </c>
      <c r="T245" s="50" t="e">
        <f t="shared" ca="1" si="249"/>
        <v>#N/A</v>
      </c>
      <c r="U245" s="50" t="e">
        <f t="shared" ca="1" si="244"/>
        <v>#N/A</v>
      </c>
      <c r="V245" s="50" t="e">
        <f t="shared" ca="1" si="245"/>
        <v>#N/A</v>
      </c>
      <c r="W245" s="50" t="str">
        <f t="shared" ca="1" si="246"/>
        <v>$U$243:$U$244</v>
      </c>
      <c r="X245" s="214" t="str">
        <f t="shared" ca="1" si="247"/>
        <v>$V$243:$V$244</v>
      </c>
      <c r="AB245" s="51"/>
      <c r="AC245" s="51"/>
      <c r="AD245" s="51"/>
      <c r="AE245" s="48"/>
      <c r="AF245" s="48"/>
      <c r="AG245" s="50"/>
      <c r="AH245" s="50"/>
      <c r="AI245" s="51"/>
      <c r="AJ245" s="50"/>
      <c r="AK245" s="55"/>
      <c r="AL245" s="55"/>
      <c r="AM245" s="51"/>
      <c r="AN245" s="51"/>
      <c r="AO245" s="51"/>
      <c r="AP245" s="48"/>
      <c r="AQ245" s="48"/>
      <c r="AR245" s="50"/>
      <c r="AS245" s="50"/>
      <c r="AT245" s="51"/>
      <c r="AU245" s="50"/>
      <c r="AV245" s="55"/>
      <c r="AW245" s="55"/>
      <c r="AX245" s="50"/>
      <c r="AY245" s="51"/>
      <c r="AZ245" s="51"/>
      <c r="BA245" s="48"/>
      <c r="BB245" s="48"/>
      <c r="BC245" s="50"/>
      <c r="BD245" s="50"/>
      <c r="BP245" s="53"/>
      <c r="BQ245" s="52"/>
      <c r="BR245" s="54"/>
      <c r="BS245" s="50"/>
      <c r="BT245" s="55"/>
      <c r="BU245" s="55"/>
      <c r="BV245" s="51"/>
      <c r="BW245" s="51"/>
      <c r="BX245" s="51"/>
      <c r="BY245" s="48"/>
      <c r="BZ245" s="48"/>
      <c r="CA245" s="50"/>
      <c r="CB245" s="52"/>
      <c r="CC245" s="54"/>
      <c r="CD245" s="50"/>
      <c r="CE245" s="55"/>
      <c r="CF245" s="55"/>
      <c r="CG245" s="51"/>
      <c r="CH245" s="51"/>
      <c r="CI245" s="51"/>
      <c r="CJ245" s="48"/>
      <c r="CK245" s="48"/>
      <c r="CL245" s="50"/>
      <c r="CM245" s="52"/>
      <c r="CN245" s="54"/>
      <c r="CO245" s="50"/>
      <c r="CP245" s="55"/>
      <c r="CQ245" s="55"/>
      <c r="CR245" s="51"/>
      <c r="CS245" s="51"/>
      <c r="CT245" s="51"/>
      <c r="CU245" s="48"/>
      <c r="CV245" s="48"/>
      <c r="CW245" s="50"/>
      <c r="CX245" s="50"/>
      <c r="CY245" s="54"/>
      <c r="CZ245" s="50"/>
      <c r="DA245" s="55"/>
      <c r="DB245" s="55"/>
      <c r="DC245" s="50"/>
      <c r="DD245" s="51"/>
      <c r="DE245" s="51"/>
      <c r="DF245" s="48"/>
      <c r="DG245" s="48"/>
      <c r="DH245" s="50"/>
      <c r="DI245" s="52"/>
    </row>
    <row r="246" spans="10:113" x14ac:dyDescent="0.25">
      <c r="J246" s="15">
        <v>4</v>
      </c>
      <c r="K246" s="53">
        <v>23.84815618221258</v>
      </c>
      <c r="L246" s="47">
        <v>2955.1078305187975</v>
      </c>
      <c r="M246" s="54">
        <v>17.738215114948702</v>
      </c>
      <c r="N246" s="50">
        <v>2027.8689947511596</v>
      </c>
      <c r="O246" s="55">
        <f ca="1"/>
        <v>0</v>
      </c>
      <c r="P246" s="50">
        <f t="shared" ca="1" si="248"/>
        <v>2027.8862785529789</v>
      </c>
      <c r="Q246" s="534">
        <f ca="1">IF(O246=1,δ_0*(SLOPE(INDIRECT(VLOOKUP(S246,$S$242:$X$254,5,FALSE)),INDIRECT(VLOOKUP(S246,$S$242:$X$254,6,FALSE)))-SLOPE(INDIRECT(VLOOKUP(S246-1,$S$242:$X$254,5,FALSE)),INDIRECT(VLOOKUP(S246-1,$S$242:$X$254,6,FALSE)))),0)*86400*VLOOKUP($L$239,Aux!$AL$72:$AN$83,3,FALSE)</f>
        <v>0</v>
      </c>
      <c r="R246" s="534">
        <f t="shared" ca="1" si="250"/>
        <v>0</v>
      </c>
      <c r="S246" s="535" cm="1">
        <f t="array" aca="1" ref="S246" ca="1">SUM(IF(ISNUMBER(T$242:T246),1,0))+IF($J246&gt;Capas_VN_C1,1,0)</f>
        <v>2</v>
      </c>
      <c r="T246" s="50" t="e">
        <f t="shared" ca="1" si="249"/>
        <v>#N/A</v>
      </c>
      <c r="U246" s="50" t="e">
        <f t="shared" ca="1" si="244"/>
        <v>#N/A</v>
      </c>
      <c r="V246" s="50" t="e">
        <f t="shared" ca="1" si="245"/>
        <v>#N/A</v>
      </c>
      <c r="W246" s="50" t="str">
        <f t="shared" ca="1" si="246"/>
        <v>$U$243:$U$244</v>
      </c>
      <c r="X246" s="214" t="str">
        <f t="shared" ca="1" si="247"/>
        <v>$V$243:$V$244</v>
      </c>
      <c r="AB246" s="51"/>
      <c r="AC246" s="51"/>
      <c r="AD246" s="51"/>
      <c r="AE246" s="48"/>
      <c r="AF246" s="48"/>
      <c r="AG246" s="50"/>
      <c r="AH246" s="50"/>
      <c r="AI246" s="51"/>
      <c r="AJ246" s="50"/>
      <c r="AK246" s="55"/>
      <c r="AL246" s="55"/>
      <c r="AM246" s="51"/>
      <c r="AN246" s="51"/>
      <c r="AO246" s="51"/>
      <c r="AP246" s="48"/>
      <c r="AQ246" s="48"/>
      <c r="AR246" s="50"/>
      <c r="AS246" s="50"/>
      <c r="AT246" s="51"/>
      <c r="AU246" s="50"/>
      <c r="AV246" s="55"/>
      <c r="AW246" s="55"/>
      <c r="AX246" s="50"/>
      <c r="AY246" s="51"/>
      <c r="AZ246" s="51"/>
      <c r="BA246" s="48"/>
      <c r="BB246" s="48"/>
      <c r="BC246" s="50"/>
      <c r="BD246" s="50"/>
      <c r="BP246" s="53"/>
      <c r="BQ246" s="52"/>
      <c r="BR246" s="54"/>
      <c r="BS246" s="50"/>
      <c r="BT246" s="55"/>
      <c r="BU246" s="55"/>
      <c r="BV246" s="51"/>
      <c r="BW246" s="51"/>
      <c r="BX246" s="51"/>
      <c r="BY246" s="48"/>
      <c r="BZ246" s="48"/>
      <c r="CA246" s="50"/>
      <c r="CB246" s="52"/>
      <c r="CC246" s="54"/>
      <c r="CD246" s="50"/>
      <c r="CE246" s="55"/>
      <c r="CF246" s="55"/>
      <c r="CG246" s="51"/>
      <c r="CH246" s="51"/>
      <c r="CI246" s="51"/>
      <c r="CJ246" s="48"/>
      <c r="CK246" s="48"/>
      <c r="CL246" s="50"/>
      <c r="CM246" s="52"/>
      <c r="CN246" s="54"/>
      <c r="CO246" s="50"/>
      <c r="CP246" s="55"/>
      <c r="CQ246" s="55"/>
      <c r="CR246" s="51"/>
      <c r="CS246" s="51"/>
      <c r="CT246" s="51"/>
      <c r="CU246" s="48"/>
      <c r="CV246" s="48"/>
      <c r="CW246" s="50"/>
      <c r="CX246" s="50"/>
      <c r="CY246" s="54"/>
      <c r="CZ246" s="50"/>
      <c r="DA246" s="55"/>
      <c r="DB246" s="55"/>
      <c r="DC246" s="50"/>
      <c r="DD246" s="51"/>
      <c r="DE246" s="51"/>
      <c r="DF246" s="48"/>
      <c r="DG246" s="48"/>
      <c r="DH246" s="50"/>
      <c r="DI246" s="52"/>
    </row>
    <row r="247" spans="10:113" x14ac:dyDescent="0.25">
      <c r="J247" s="15">
        <v>5</v>
      </c>
      <c r="K247" s="53">
        <v>23.913232104121477</v>
      </c>
      <c r="L247" s="47">
        <v>2966.6829539624282</v>
      </c>
      <c r="M247" s="54">
        <v>17.738308949741828</v>
      </c>
      <c r="N247" s="50">
        <v>2027.8810249260428</v>
      </c>
      <c r="O247" s="55">
        <f ca="1"/>
        <v>0</v>
      </c>
      <c r="P247" s="50">
        <f t="shared" ca="1" si="248"/>
        <v>2027.8810249260428</v>
      </c>
      <c r="Q247" s="534">
        <f ca="1">IF(O247=1,δ_0*(SLOPE(INDIRECT(VLOOKUP(S247,$S$242:$X$254,5,FALSE)),INDIRECT(VLOOKUP(S247,$S$242:$X$254,6,FALSE)))-SLOPE(INDIRECT(VLOOKUP(S247-1,$S$242:$X$254,5,FALSE)),INDIRECT(VLOOKUP(S247-1,$S$242:$X$254,6,FALSE)))),0)*86400*VLOOKUP($L$239,Aux!$AL$72:$AN$83,3,FALSE)</f>
        <v>0</v>
      </c>
      <c r="R247" s="534">
        <f t="shared" ca="1" si="250"/>
        <v>0</v>
      </c>
      <c r="S247" s="535" cm="1">
        <f t="array" aca="1" ref="S247" ca="1">SUM(IF(ISNUMBER(T$242:T247),1,0))+IF($J247&gt;Capas_VN_C1,1,0)</f>
        <v>3</v>
      </c>
      <c r="T247" s="50">
        <f t="shared" ca="1" si="249"/>
        <v>2027.8810249260428</v>
      </c>
      <c r="U247" s="50" t="e">
        <f t="shared" ca="1" si="244"/>
        <v>#N/A</v>
      </c>
      <c r="V247" s="50" t="e">
        <f t="shared" ca="1" si="245"/>
        <v>#N/A</v>
      </c>
      <c r="W247" s="50" t="str">
        <f t="shared" ca="1" si="246"/>
        <v>$U$244:$U$245</v>
      </c>
      <c r="X247" s="214" t="str">
        <f t="shared" ca="1" si="247"/>
        <v>$V$244:$V$245</v>
      </c>
      <c r="AB247" s="51"/>
      <c r="AC247" s="51"/>
      <c r="AD247" s="51"/>
      <c r="AE247" s="48"/>
      <c r="AF247" s="48"/>
      <c r="AG247" s="50"/>
      <c r="AH247" s="50"/>
      <c r="AI247" s="51"/>
      <c r="AJ247" s="50"/>
      <c r="AK247" s="55"/>
      <c r="AL247" s="55"/>
      <c r="AM247" s="51"/>
      <c r="AN247" s="51"/>
      <c r="AO247" s="51"/>
      <c r="AP247" s="48"/>
      <c r="AQ247" s="48"/>
      <c r="AR247" s="50"/>
      <c r="AS247" s="50"/>
      <c r="AT247" s="51"/>
      <c r="AU247" s="50"/>
      <c r="AV247" s="55"/>
      <c r="AW247" s="55"/>
      <c r="AX247" s="50"/>
      <c r="AY247" s="51"/>
      <c r="AZ247" s="51"/>
      <c r="BA247" s="48"/>
      <c r="BB247" s="48"/>
      <c r="BC247" s="50"/>
      <c r="BD247" s="50"/>
      <c r="BP247" s="53"/>
      <c r="BQ247" s="52"/>
      <c r="BR247" s="54"/>
      <c r="BS247" s="50"/>
      <c r="BT247" s="55"/>
      <c r="BU247" s="55"/>
      <c r="BV247" s="51"/>
      <c r="BW247" s="51"/>
      <c r="BX247" s="51"/>
      <c r="BY247" s="48"/>
      <c r="BZ247" s="48"/>
      <c r="CA247" s="50"/>
      <c r="CB247" s="52"/>
      <c r="CC247" s="54"/>
      <c r="CD247" s="50"/>
      <c r="CE247" s="55"/>
      <c r="CF247" s="55"/>
      <c r="CG247" s="51"/>
      <c r="CH247" s="51"/>
      <c r="CI247" s="51"/>
      <c r="CJ247" s="48"/>
      <c r="CK247" s="48"/>
      <c r="CL247" s="50"/>
      <c r="CM247" s="52"/>
      <c r="CN247" s="54"/>
      <c r="CO247" s="50"/>
      <c r="CP247" s="55"/>
      <c r="CQ247" s="55"/>
      <c r="CR247" s="51"/>
      <c r="CS247" s="51"/>
      <c r="CT247" s="51"/>
      <c r="CU247" s="48"/>
      <c r="CV247" s="48"/>
      <c r="CW247" s="50"/>
      <c r="CX247" s="50"/>
      <c r="CY247" s="54"/>
      <c r="CZ247" s="50"/>
      <c r="DA247" s="55"/>
      <c r="DB247" s="55"/>
      <c r="DC247" s="50"/>
      <c r="DD247" s="51"/>
      <c r="DE247" s="51"/>
      <c r="DF247" s="48"/>
      <c r="DG247" s="48"/>
      <c r="DH247" s="50"/>
      <c r="DI247" s="52"/>
    </row>
    <row r="248" spans="10:113" x14ac:dyDescent="0.25">
      <c r="J248" s="15">
        <v>6</v>
      </c>
      <c r="K248" s="53">
        <v>24</v>
      </c>
      <c r="L248" s="47">
        <v>2982.1779778324158</v>
      </c>
      <c r="M248" s="54" t="e">
        <v>#N/A</v>
      </c>
      <c r="N248" s="50" t="e">
        <v>#N/A</v>
      </c>
      <c r="O248" s="55" t="e">
        <f ca="1"/>
        <v>#N/A</v>
      </c>
      <c r="P248" s="50" t="e">
        <f t="shared" ca="1" si="248"/>
        <v>#N/A</v>
      </c>
      <c r="Q248" s="534" t="e">
        <f ca="1">IF(O248=1,δ_0*(SLOPE(INDIRECT(VLOOKUP(S248,$S$242:$X$254,5,FALSE)),INDIRECT(VLOOKUP(S248,$S$242:$X$254,6,FALSE)))-SLOPE(INDIRECT(VLOOKUP(S248-1,$S$242:$X$254,5,FALSE)),INDIRECT(VLOOKUP(S248-1,$S$242:$X$254,6,FALSE)))),0)*86400*VLOOKUP($L$239,Aux!$AL$72:$AN$83,3,FALSE)</f>
        <v>#N/A</v>
      </c>
      <c r="R248" s="534">
        <f t="shared" ca="1" si="250"/>
        <v>0</v>
      </c>
      <c r="S248" s="535" cm="1">
        <f t="array" aca="1" ref="S248" ca="1">SUM(IF(ISNUMBER(T$242:T248),1,0))+IF($J248&gt;Capas_VN_C1,1,0)</f>
        <v>4</v>
      </c>
      <c r="T248" s="50" t="e">
        <f t="shared" ca="1" si="249"/>
        <v>#N/A</v>
      </c>
      <c r="U248" s="50" t="e">
        <f t="shared" ca="1" si="244"/>
        <v>#N/A</v>
      </c>
      <c r="V248" s="50" t="e">
        <f t="shared" ca="1" si="245"/>
        <v>#N/A</v>
      </c>
      <c r="W248" s="50" t="str">
        <f t="shared" ca="1" si="246"/>
        <v>$U$245:$U$246</v>
      </c>
      <c r="X248" s="214" t="str">
        <f t="shared" ca="1" si="247"/>
        <v>$V$245:$V$246</v>
      </c>
      <c r="AB248" s="51"/>
      <c r="AC248" s="51"/>
      <c r="AD248" s="51"/>
      <c r="AE248" s="48"/>
      <c r="AF248" s="48"/>
      <c r="AG248" s="50"/>
      <c r="AH248" s="50"/>
      <c r="AI248" s="51"/>
      <c r="AJ248" s="50"/>
      <c r="AK248" s="55"/>
      <c r="AL248" s="55"/>
      <c r="AM248" s="51"/>
      <c r="AN248" s="51"/>
      <c r="AO248" s="51"/>
      <c r="AP248" s="48"/>
      <c r="AQ248" s="48"/>
      <c r="AR248" s="50"/>
      <c r="AS248" s="50"/>
      <c r="AT248" s="51"/>
      <c r="AU248" s="50"/>
      <c r="AV248" s="55"/>
      <c r="AW248" s="55"/>
      <c r="AX248" s="50"/>
      <c r="AY248" s="51"/>
      <c r="AZ248" s="51"/>
      <c r="BA248" s="48"/>
      <c r="BB248" s="48"/>
      <c r="BC248" s="50"/>
      <c r="BD248" s="50"/>
      <c r="BP248" s="53"/>
      <c r="BQ248" s="52"/>
      <c r="BR248" s="54"/>
      <c r="BS248" s="50"/>
      <c r="BT248" s="55"/>
      <c r="BU248" s="55"/>
      <c r="BV248" s="51"/>
      <c r="BW248" s="51"/>
      <c r="BX248" s="51"/>
      <c r="BY248" s="48"/>
      <c r="BZ248" s="48"/>
      <c r="CA248" s="50"/>
      <c r="CB248" s="52"/>
      <c r="CC248" s="54"/>
      <c r="CD248" s="50"/>
      <c r="CE248" s="55"/>
      <c r="CF248" s="55"/>
      <c r="CG248" s="51"/>
      <c r="CH248" s="51"/>
      <c r="CI248" s="51"/>
      <c r="CJ248" s="48"/>
      <c r="CK248" s="48"/>
      <c r="CL248" s="50"/>
      <c r="CM248" s="52"/>
      <c r="CN248" s="54"/>
      <c r="CO248" s="50"/>
      <c r="CP248" s="55"/>
      <c r="CQ248" s="55"/>
      <c r="CR248" s="51"/>
      <c r="CS248" s="51"/>
      <c r="CT248" s="51"/>
      <c r="CU248" s="48"/>
      <c r="CV248" s="48"/>
      <c r="CW248" s="50"/>
      <c r="CX248" s="50"/>
      <c r="CY248" s="54"/>
      <c r="CZ248" s="50"/>
      <c r="DA248" s="55"/>
      <c r="DB248" s="55"/>
      <c r="DC248" s="50"/>
      <c r="DD248" s="51"/>
      <c r="DE248" s="51"/>
      <c r="DF248" s="48"/>
      <c r="DG248" s="48"/>
      <c r="DH248" s="50"/>
      <c r="DI248" s="52"/>
    </row>
    <row r="249" spans="10:113" x14ac:dyDescent="0.25">
      <c r="J249" s="15">
        <v>7</v>
      </c>
      <c r="K249" s="53" t="e">
        <v>#N/A</v>
      </c>
      <c r="L249" s="47" t="e">
        <v>#N/A</v>
      </c>
      <c r="M249" s="54" t="e">
        <v>#N/A</v>
      </c>
      <c r="N249" s="50" t="e">
        <v>#N/A</v>
      </c>
      <c r="O249" s="55" t="e">
        <f ca="1"/>
        <v>#N/A</v>
      </c>
      <c r="P249" s="50" t="e">
        <f t="shared" ca="1" si="248"/>
        <v>#N/A</v>
      </c>
      <c r="Q249" s="534" t="e">
        <f ca="1">IF(O249=1,δ_0*(SLOPE(INDIRECT(VLOOKUP(S249,$S$242:$X$254,5,FALSE)),INDIRECT(VLOOKUP(S249,$S$242:$X$254,6,FALSE)))-SLOPE(INDIRECT(VLOOKUP(S249-1,$S$242:$X$254,5,FALSE)),INDIRECT(VLOOKUP(S249-1,$S$242:$X$254,6,FALSE)))),0)*86400*VLOOKUP($L$239,Aux!$AL$72:$AN$83,3,FALSE)</f>
        <v>#N/A</v>
      </c>
      <c r="R249" s="534">
        <f t="shared" ca="1" si="250"/>
        <v>0</v>
      </c>
      <c r="S249" s="535" cm="1">
        <f t="array" aca="1" ref="S249" ca="1">SUM(IF(ISNUMBER(T$242:T249),1,0))+IF($J249&gt;Capas_VN_C1,1,0)</f>
        <v>4</v>
      </c>
      <c r="T249" s="50" t="e">
        <f t="shared" ca="1" si="249"/>
        <v>#N/A</v>
      </c>
      <c r="U249" s="50" t="e">
        <f t="shared" ca="1" si="244"/>
        <v>#N/A</v>
      </c>
      <c r="V249" s="50" t="e">
        <f t="shared" ca="1" si="245"/>
        <v>#N/A</v>
      </c>
      <c r="W249" s="50" t="str">
        <f t="shared" ca="1" si="246"/>
        <v>$U$245:$U$246</v>
      </c>
      <c r="X249" s="214" t="str">
        <f t="shared" ca="1" si="247"/>
        <v>$V$245:$V$246</v>
      </c>
      <c r="AB249" s="51"/>
      <c r="AC249" s="51"/>
      <c r="AD249" s="51"/>
      <c r="AE249" s="48"/>
      <c r="AF249" s="48"/>
      <c r="AG249" s="50"/>
      <c r="AH249" s="50"/>
      <c r="AI249" s="51"/>
      <c r="AJ249" s="50"/>
      <c r="AK249" s="55"/>
      <c r="AL249" s="55"/>
      <c r="AM249" s="51"/>
      <c r="AN249" s="51"/>
      <c r="AO249" s="51"/>
      <c r="AP249" s="48"/>
      <c r="AQ249" s="48"/>
      <c r="AR249" s="50"/>
      <c r="AS249" s="50"/>
      <c r="AT249" s="51"/>
      <c r="AU249" s="50"/>
      <c r="AV249" s="55"/>
      <c r="AW249" s="55"/>
      <c r="AX249" s="50"/>
      <c r="AY249" s="51"/>
      <c r="AZ249" s="51"/>
      <c r="BA249" s="48"/>
      <c r="BB249" s="48"/>
      <c r="BC249" s="50"/>
      <c r="BD249" s="50"/>
      <c r="BP249" s="53"/>
      <c r="BQ249" s="52"/>
      <c r="BR249" s="54"/>
      <c r="BS249" s="50"/>
      <c r="BT249" s="55"/>
      <c r="BU249" s="55"/>
      <c r="BV249" s="51"/>
      <c r="BW249" s="51"/>
      <c r="BX249" s="51"/>
      <c r="BY249" s="48"/>
      <c r="BZ249" s="48"/>
      <c r="CA249" s="50"/>
      <c r="CB249" s="52"/>
      <c r="CC249" s="54"/>
      <c r="CD249" s="50"/>
      <c r="CE249" s="55"/>
      <c r="CF249" s="55"/>
      <c r="CG249" s="51"/>
      <c r="CH249" s="51"/>
      <c r="CI249" s="51"/>
      <c r="CJ249" s="48"/>
      <c r="CK249" s="48"/>
      <c r="CL249" s="50"/>
      <c r="CM249" s="52"/>
      <c r="CN249" s="54"/>
      <c r="CO249" s="50"/>
      <c r="CP249" s="55"/>
      <c r="CQ249" s="55"/>
      <c r="CR249" s="51"/>
      <c r="CS249" s="51"/>
      <c r="CT249" s="51"/>
      <c r="CU249" s="48"/>
      <c r="CV249" s="48"/>
      <c r="CW249" s="50"/>
      <c r="CX249" s="50"/>
      <c r="CY249" s="54"/>
      <c r="CZ249" s="50"/>
      <c r="DA249" s="55"/>
      <c r="DB249" s="55"/>
      <c r="DC249" s="50"/>
      <c r="DD249" s="51"/>
      <c r="DE249" s="51"/>
      <c r="DF249" s="48"/>
      <c r="DG249" s="48"/>
      <c r="DH249" s="50"/>
      <c r="DI249" s="52"/>
    </row>
    <row r="250" spans="10:113" x14ac:dyDescent="0.25">
      <c r="J250" s="15">
        <v>8</v>
      </c>
      <c r="K250" s="53" t="e">
        <v>#N/A</v>
      </c>
      <c r="L250" s="47" t="e">
        <v>#N/A</v>
      </c>
      <c r="M250" s="54" t="e">
        <v>#N/A</v>
      </c>
      <c r="N250" s="50" t="e">
        <v>#N/A</v>
      </c>
      <c r="O250" s="55" t="e">
        <f ca="1"/>
        <v>#N/A</v>
      </c>
      <c r="P250" s="50" t="e">
        <f t="shared" ca="1" si="248"/>
        <v>#N/A</v>
      </c>
      <c r="Q250" s="534" t="e">
        <f ca="1">IF(O250=1,δ_0*(SLOPE(INDIRECT(VLOOKUP(S250,$S$242:$X$254,5,FALSE)),INDIRECT(VLOOKUP(S250,$S$242:$X$254,6,FALSE)))-SLOPE(INDIRECT(VLOOKUP(S250-1,$S$242:$X$254,5,FALSE)),INDIRECT(VLOOKUP(S250-1,$S$242:$X$254,6,FALSE)))),0)*86400*VLOOKUP($L$239,Aux!$AL$72:$AN$83,3,FALSE)</f>
        <v>#N/A</v>
      </c>
      <c r="R250" s="534">
        <f t="shared" ca="1" si="250"/>
        <v>0</v>
      </c>
      <c r="S250" s="535" cm="1">
        <f t="array" aca="1" ref="S250" ca="1">SUM(IF(ISNUMBER(T$242:T250),1,0))+IF($J250&gt;Capas_VN_C1,1,0)</f>
        <v>4</v>
      </c>
      <c r="T250" s="50" t="e">
        <f t="shared" ca="1" si="249"/>
        <v>#N/A</v>
      </c>
      <c r="U250" s="50" t="e">
        <f t="shared" ca="1" si="244"/>
        <v>#N/A</v>
      </c>
      <c r="V250" s="50" t="e">
        <f t="shared" ca="1" si="245"/>
        <v>#N/A</v>
      </c>
      <c r="W250" s="50" t="str">
        <f t="shared" ca="1" si="246"/>
        <v>$U$245:$U$246</v>
      </c>
      <c r="X250" s="214" t="str">
        <f t="shared" ca="1" si="247"/>
        <v>$V$245:$V$246</v>
      </c>
      <c r="AB250" s="51"/>
      <c r="AC250" s="51"/>
      <c r="AD250" s="51"/>
      <c r="AE250" s="48"/>
      <c r="AF250" s="48"/>
      <c r="AG250" s="50"/>
      <c r="AH250" s="50"/>
      <c r="AI250" s="51"/>
      <c r="AJ250" s="50"/>
      <c r="AK250" s="55"/>
      <c r="AL250" s="55"/>
      <c r="AM250" s="51"/>
      <c r="AN250" s="51"/>
      <c r="AO250" s="51"/>
      <c r="AP250" s="48"/>
      <c r="AQ250" s="48"/>
      <c r="AR250" s="50"/>
      <c r="AS250" s="50"/>
      <c r="AT250" s="51"/>
      <c r="AU250" s="50"/>
      <c r="AV250" s="55"/>
      <c r="AW250" s="55"/>
      <c r="AX250" s="50"/>
      <c r="AY250" s="51"/>
      <c r="AZ250" s="51"/>
      <c r="BA250" s="48"/>
      <c r="BB250" s="48"/>
      <c r="BC250" s="50"/>
      <c r="BD250" s="50"/>
      <c r="BP250" s="53"/>
      <c r="BQ250" s="52"/>
      <c r="BR250" s="54"/>
      <c r="BS250" s="50"/>
      <c r="BT250" s="55"/>
      <c r="BU250" s="55"/>
      <c r="BV250" s="51"/>
      <c r="BW250" s="51"/>
      <c r="BX250" s="51"/>
      <c r="BY250" s="48"/>
      <c r="BZ250" s="48"/>
      <c r="CA250" s="50"/>
      <c r="CB250" s="52"/>
      <c r="CC250" s="54"/>
      <c r="CD250" s="50"/>
      <c r="CE250" s="55"/>
      <c r="CF250" s="55"/>
      <c r="CG250" s="51"/>
      <c r="CH250" s="51"/>
      <c r="CI250" s="51"/>
      <c r="CJ250" s="48"/>
      <c r="CK250" s="48"/>
      <c r="CL250" s="50"/>
      <c r="CM250" s="52"/>
      <c r="CN250" s="54"/>
      <c r="CO250" s="50"/>
      <c r="CP250" s="55"/>
      <c r="CQ250" s="55"/>
      <c r="CR250" s="51"/>
      <c r="CS250" s="51"/>
      <c r="CT250" s="51"/>
      <c r="CU250" s="48"/>
      <c r="CV250" s="48"/>
      <c r="CW250" s="50"/>
      <c r="CX250" s="50"/>
      <c r="CY250" s="54"/>
      <c r="CZ250" s="50"/>
      <c r="DA250" s="55"/>
      <c r="DB250" s="55"/>
      <c r="DC250" s="50"/>
      <c r="DD250" s="51"/>
      <c r="DE250" s="51"/>
      <c r="DF250" s="48"/>
      <c r="DG250" s="48"/>
      <c r="DH250" s="50"/>
      <c r="DI250" s="52"/>
    </row>
    <row r="251" spans="10:113" x14ac:dyDescent="0.25">
      <c r="J251" s="15">
        <v>9</v>
      </c>
      <c r="K251" s="53" t="e">
        <v>#N/A</v>
      </c>
      <c r="L251" s="47" t="e">
        <v>#N/A</v>
      </c>
      <c r="M251" s="54" t="e">
        <v>#N/A</v>
      </c>
      <c r="N251" s="50" t="e">
        <v>#N/A</v>
      </c>
      <c r="O251" s="55" t="e">
        <f ca="1"/>
        <v>#N/A</v>
      </c>
      <c r="P251" s="50" t="e">
        <f t="shared" ca="1" si="248"/>
        <v>#N/A</v>
      </c>
      <c r="Q251" s="534" t="e">
        <f ca="1">IF(O251=1,δ_0*(SLOPE(INDIRECT(VLOOKUP(S251,$S$242:$X$254,5,FALSE)),INDIRECT(VLOOKUP(S251,$S$242:$X$254,6,FALSE)))-SLOPE(INDIRECT(VLOOKUP(S251-1,$S$242:$X$254,5,FALSE)),INDIRECT(VLOOKUP(S251-1,$S$242:$X$254,6,FALSE)))),0)*86400*VLOOKUP($L$239,Aux!$AL$72:$AN$83,3,FALSE)</f>
        <v>#N/A</v>
      </c>
      <c r="R251" s="534">
        <f t="shared" ca="1" si="250"/>
        <v>0</v>
      </c>
      <c r="S251" s="535" cm="1">
        <f t="array" aca="1" ref="S251" ca="1">SUM(IF(ISNUMBER(T$242:T251),1,0))+IF($J251&gt;Capas_VN_C1,1,0)</f>
        <v>4</v>
      </c>
      <c r="T251" s="50" t="e">
        <f t="shared" ca="1" si="249"/>
        <v>#N/A</v>
      </c>
      <c r="U251" s="50" t="e">
        <f t="shared" ca="1" si="244"/>
        <v>#N/A</v>
      </c>
      <c r="V251" s="50" t="e">
        <f t="shared" ca="1" si="245"/>
        <v>#N/A</v>
      </c>
      <c r="W251" s="50" t="str">
        <f t="shared" ca="1" si="246"/>
        <v>$U$245:$U$246</v>
      </c>
      <c r="X251" s="214" t="str">
        <f t="shared" ca="1" si="247"/>
        <v>$V$245:$V$246</v>
      </c>
      <c r="AB251" s="51"/>
      <c r="AC251" s="51"/>
      <c r="AD251" s="51"/>
      <c r="AE251" s="48"/>
      <c r="AF251" s="48"/>
      <c r="AG251" s="50"/>
      <c r="AH251" s="50"/>
      <c r="AI251" s="51"/>
      <c r="AJ251" s="50"/>
      <c r="AK251" s="55"/>
      <c r="AL251" s="55"/>
      <c r="AM251" s="51"/>
      <c r="AN251" s="51"/>
      <c r="AO251" s="51"/>
      <c r="AP251" s="48"/>
      <c r="AQ251" s="48"/>
      <c r="AR251" s="50"/>
      <c r="AS251" s="50"/>
      <c r="AT251" s="51"/>
      <c r="AU251" s="50"/>
      <c r="AV251" s="55"/>
      <c r="AW251" s="55"/>
      <c r="AX251" s="50"/>
      <c r="AY251" s="51"/>
      <c r="AZ251" s="51"/>
      <c r="BA251" s="48"/>
      <c r="BB251" s="48"/>
      <c r="BC251" s="50"/>
      <c r="BD251" s="50"/>
      <c r="BP251" s="53"/>
      <c r="BQ251" s="52"/>
      <c r="BR251" s="54"/>
      <c r="BS251" s="50"/>
      <c r="BT251" s="55"/>
      <c r="BU251" s="55"/>
      <c r="BV251" s="51"/>
      <c r="BW251" s="51"/>
      <c r="BX251" s="51"/>
      <c r="BY251" s="48"/>
      <c r="BZ251" s="48"/>
      <c r="CA251" s="50"/>
      <c r="CB251" s="52"/>
      <c r="CC251" s="54"/>
      <c r="CD251" s="50"/>
      <c r="CE251" s="55"/>
      <c r="CF251" s="55"/>
      <c r="CG251" s="51"/>
      <c r="CH251" s="51"/>
      <c r="CI251" s="51"/>
      <c r="CJ251" s="48"/>
      <c r="CK251" s="48"/>
      <c r="CL251" s="50"/>
      <c r="CM251" s="52"/>
      <c r="CN251" s="54"/>
      <c r="CO251" s="50"/>
      <c r="CP251" s="55"/>
      <c r="CQ251" s="55"/>
      <c r="CR251" s="51"/>
      <c r="CS251" s="51"/>
      <c r="CT251" s="51"/>
      <c r="CU251" s="48"/>
      <c r="CV251" s="48"/>
      <c r="CW251" s="50"/>
      <c r="CX251" s="50"/>
      <c r="CY251" s="54"/>
      <c r="CZ251" s="50"/>
      <c r="DA251" s="55"/>
      <c r="DB251" s="55"/>
      <c r="DC251" s="50"/>
      <c r="DD251" s="51"/>
      <c r="DE251" s="51"/>
      <c r="DF251" s="48"/>
      <c r="DG251" s="48"/>
      <c r="DH251" s="50"/>
      <c r="DI251" s="52"/>
    </row>
    <row r="252" spans="10:113" x14ac:dyDescent="0.25">
      <c r="J252" s="15">
        <v>10</v>
      </c>
      <c r="K252" s="53" t="e">
        <v>#N/A</v>
      </c>
      <c r="L252" s="47" t="e">
        <v>#N/A</v>
      </c>
      <c r="M252" s="54" t="e">
        <v>#N/A</v>
      </c>
      <c r="N252" s="50" t="e">
        <v>#N/A</v>
      </c>
      <c r="O252" s="55" t="e">
        <f ca="1"/>
        <v>#N/A</v>
      </c>
      <c r="P252" s="50" t="e">
        <f t="shared" ca="1" si="248"/>
        <v>#N/A</v>
      </c>
      <c r="Q252" s="534" t="e">
        <f ca="1">IF(O252=1,δ_0*(SLOPE(INDIRECT(VLOOKUP(S252,$S$242:$X$254,5,FALSE)),INDIRECT(VLOOKUP(S252,$S$242:$X$254,6,FALSE)))-SLOPE(INDIRECT(VLOOKUP(S252-1,$S$242:$X$254,5,FALSE)),INDIRECT(VLOOKUP(S252-1,$S$242:$X$254,6,FALSE)))),0)*86400*VLOOKUP($L$239,Aux!$AL$72:$AN$83,3,FALSE)</f>
        <v>#N/A</v>
      </c>
      <c r="R252" s="534">
        <f t="shared" ca="1" si="250"/>
        <v>0</v>
      </c>
      <c r="S252" s="535" cm="1">
        <f t="array" aca="1" ref="S252" ca="1">SUM(IF(ISNUMBER(T$242:T252),1,0))+IF($J252&gt;Capas_VN_C1,1,0)</f>
        <v>4</v>
      </c>
      <c r="T252" s="50" t="e">
        <f t="shared" ca="1" si="249"/>
        <v>#N/A</v>
      </c>
      <c r="U252" s="50" t="e">
        <f t="shared" ca="1" si="244"/>
        <v>#N/A</v>
      </c>
      <c r="V252" s="50" t="e">
        <f t="shared" ca="1" si="245"/>
        <v>#N/A</v>
      </c>
      <c r="W252" s="50" t="str">
        <f t="shared" ca="1" si="246"/>
        <v>$U$245:$U$246</v>
      </c>
      <c r="X252" s="214" t="str">
        <f t="shared" ca="1" si="247"/>
        <v>$V$245:$V$246</v>
      </c>
      <c r="AB252" s="51"/>
      <c r="AC252" s="51"/>
      <c r="AD252" s="51"/>
      <c r="AE252" s="48"/>
      <c r="AF252" s="48"/>
      <c r="AG252" s="50"/>
      <c r="AH252" s="50"/>
      <c r="AI252" s="51"/>
      <c r="AJ252" s="50"/>
      <c r="AK252" s="55"/>
      <c r="AL252" s="55"/>
      <c r="AM252" s="51"/>
      <c r="AN252" s="51"/>
      <c r="AO252" s="51"/>
      <c r="AP252" s="48"/>
      <c r="AQ252" s="48"/>
      <c r="AR252" s="50"/>
      <c r="AS252" s="50"/>
      <c r="AT252" s="51"/>
      <c r="AU252" s="50"/>
      <c r="AV252" s="55"/>
      <c r="AW252" s="55"/>
      <c r="AX252" s="50"/>
      <c r="AY252" s="51"/>
      <c r="AZ252" s="51"/>
      <c r="BA252" s="48"/>
      <c r="BB252" s="48"/>
      <c r="BC252" s="50"/>
      <c r="BD252" s="50"/>
      <c r="BP252" s="53"/>
      <c r="BQ252" s="52"/>
      <c r="BR252" s="54"/>
      <c r="BS252" s="50"/>
      <c r="BT252" s="55"/>
      <c r="BU252" s="55"/>
      <c r="BV252" s="51"/>
      <c r="BW252" s="51"/>
      <c r="BX252" s="51"/>
      <c r="BY252" s="48"/>
      <c r="BZ252" s="48"/>
      <c r="CA252" s="50"/>
      <c r="CB252" s="52"/>
      <c r="CC252" s="54"/>
      <c r="CD252" s="50"/>
      <c r="CE252" s="55"/>
      <c r="CF252" s="55"/>
      <c r="CG252" s="51"/>
      <c r="CH252" s="51"/>
      <c r="CI252" s="51"/>
      <c r="CJ252" s="48"/>
      <c r="CK252" s="48"/>
      <c r="CL252" s="50"/>
      <c r="CM252" s="52"/>
      <c r="CN252" s="54"/>
      <c r="CO252" s="50"/>
      <c r="CP252" s="55"/>
      <c r="CQ252" s="55"/>
      <c r="CR252" s="51"/>
      <c r="CS252" s="51"/>
      <c r="CT252" s="51"/>
      <c r="CU252" s="48"/>
      <c r="CV252" s="48"/>
      <c r="CW252" s="50"/>
      <c r="CX252" s="50"/>
      <c r="CY252" s="54"/>
      <c r="CZ252" s="50"/>
      <c r="DA252" s="55"/>
      <c r="DB252" s="55"/>
      <c r="DC252" s="50"/>
      <c r="DD252" s="51"/>
      <c r="DE252" s="51"/>
      <c r="DF252" s="48"/>
      <c r="DG252" s="48"/>
      <c r="DH252" s="50"/>
      <c r="DI252" s="52"/>
    </row>
    <row r="253" spans="10:113" x14ac:dyDescent="0.25">
      <c r="J253" s="15">
        <v>11</v>
      </c>
      <c r="K253" s="53" t="e">
        <v>#N/A</v>
      </c>
      <c r="L253" s="47" t="e">
        <v>#N/A</v>
      </c>
      <c r="M253" s="54" t="e">
        <v>#N/A</v>
      </c>
      <c r="N253" s="50" t="e">
        <v>#N/A</v>
      </c>
      <c r="O253" s="55" t="e">
        <f ca="1"/>
        <v>#N/A</v>
      </c>
      <c r="P253" s="50" t="e">
        <f t="shared" ca="1" si="248"/>
        <v>#N/A</v>
      </c>
      <c r="Q253" s="534" t="e">
        <f ca="1">IF(O253=1,δ_0*(SLOPE(INDIRECT(VLOOKUP(S253,$S$242:$X$254,5,FALSE)),INDIRECT(VLOOKUP(S253,$S$242:$X$254,6,FALSE)))-SLOPE(INDIRECT(VLOOKUP(S253-1,$S$242:$X$254,5,FALSE)),INDIRECT(VLOOKUP(S253-1,$S$242:$X$254,6,FALSE)))),0)*86400*VLOOKUP($L$239,Aux!$AL$72:$AN$83,3,FALSE)</f>
        <v>#N/A</v>
      </c>
      <c r="R253" s="534">
        <f t="shared" ca="1" si="250"/>
        <v>0</v>
      </c>
      <c r="S253" s="535" cm="1">
        <f t="array" aca="1" ref="S253" ca="1">SUM(IF(ISNUMBER(T$242:T253),1,0))+IF($J253&gt;Capas_VN_C1,1,0)</f>
        <v>4</v>
      </c>
      <c r="T253" s="50" t="e">
        <f t="shared" ca="1" si="249"/>
        <v>#N/A</v>
      </c>
      <c r="U253" s="50" t="e">
        <f t="shared" ca="1" si="244"/>
        <v>#N/A</v>
      </c>
      <c r="V253" s="50" t="e">
        <f t="shared" ca="1" si="245"/>
        <v>#N/A</v>
      </c>
      <c r="W253" s="50" t="str">
        <f t="shared" ca="1" si="246"/>
        <v>$U$245:$U$246</v>
      </c>
      <c r="X253" s="214" t="str">
        <f t="shared" ca="1" si="247"/>
        <v>$V$245:$V$246</v>
      </c>
      <c r="AB253" s="51"/>
      <c r="AC253" s="51"/>
      <c r="AD253" s="51"/>
      <c r="AE253" s="48"/>
      <c r="AF253" s="48"/>
      <c r="AG253" s="50"/>
      <c r="AH253" s="50"/>
      <c r="AI253" s="51"/>
      <c r="AJ253" s="50"/>
      <c r="AK253" s="55"/>
      <c r="AL253" s="55"/>
      <c r="AM253" s="51"/>
      <c r="AN253" s="51"/>
      <c r="AO253" s="51"/>
      <c r="AP253" s="48"/>
      <c r="AQ253" s="48"/>
      <c r="AR253" s="50"/>
      <c r="AS253" s="50"/>
      <c r="AT253" s="51"/>
      <c r="AU253" s="50"/>
      <c r="AV253" s="55"/>
      <c r="AW253" s="55"/>
      <c r="AX253" s="50"/>
      <c r="AY253" s="51"/>
      <c r="AZ253" s="51"/>
      <c r="BA253" s="48"/>
      <c r="BB253" s="48"/>
      <c r="BC253" s="50"/>
      <c r="BD253" s="50"/>
      <c r="BP253" s="53"/>
      <c r="BQ253" s="52"/>
      <c r="BR253" s="54"/>
      <c r="BS253" s="50"/>
      <c r="BT253" s="55"/>
      <c r="BU253" s="55"/>
      <c r="BV253" s="51"/>
      <c r="BW253" s="51"/>
      <c r="BX253" s="51"/>
      <c r="BY253" s="48"/>
      <c r="BZ253" s="48"/>
      <c r="CA253" s="50"/>
      <c r="CB253" s="52"/>
      <c r="CC253" s="54"/>
      <c r="CD253" s="50"/>
      <c r="CE253" s="55"/>
      <c r="CF253" s="55"/>
      <c r="CG253" s="51"/>
      <c r="CH253" s="51"/>
      <c r="CI253" s="51"/>
      <c r="CJ253" s="48"/>
      <c r="CK253" s="48"/>
      <c r="CL253" s="50"/>
      <c r="CM253" s="52"/>
      <c r="CN253" s="54"/>
      <c r="CO253" s="50"/>
      <c r="CP253" s="55"/>
      <c r="CQ253" s="55"/>
      <c r="CR253" s="51"/>
      <c r="CS253" s="51"/>
      <c r="CT253" s="51"/>
      <c r="CU253" s="48"/>
      <c r="CV253" s="48"/>
      <c r="CW253" s="50"/>
      <c r="CX253" s="50"/>
      <c r="CY253" s="54"/>
      <c r="CZ253" s="50"/>
      <c r="DA253" s="55"/>
      <c r="DB253" s="55"/>
      <c r="DC253" s="50"/>
      <c r="DD253" s="51"/>
      <c r="DE253" s="51"/>
      <c r="DF253" s="48"/>
      <c r="DG253" s="48"/>
      <c r="DH253" s="50"/>
      <c r="DI253" s="52"/>
    </row>
    <row r="254" spans="10:113" x14ac:dyDescent="0.25">
      <c r="J254" s="517">
        <v>12</v>
      </c>
      <c r="K254" s="53" t="e">
        <v>#N/A</v>
      </c>
      <c r="L254" s="47" t="e">
        <v>#N/A</v>
      </c>
      <c r="M254" s="54" t="e">
        <v>#N/A</v>
      </c>
      <c r="N254" s="50" t="e">
        <v>#N/A</v>
      </c>
      <c r="O254" s="55" t="e">
        <f ca="1"/>
        <v>#N/A</v>
      </c>
      <c r="P254" s="50" t="e">
        <f t="shared" ca="1" si="248"/>
        <v>#N/A</v>
      </c>
      <c r="Q254" s="534" t="e">
        <f ca="1">IF(O254=1,δ_0*(SLOPE(INDIRECT(VLOOKUP(S254,$S$242:$X$254,5,FALSE)),INDIRECT(VLOOKUP(S254,$S$242:$X$254,6,FALSE)))-SLOPE(INDIRECT(VLOOKUP(S254-1,$S$242:$X$254,5,FALSE)),INDIRECT(VLOOKUP(S254-1,$S$242:$X$254,6,FALSE)))),0)*86400*VLOOKUP($L$239,Aux!$AL$72:$AN$83,3,FALSE)</f>
        <v>#N/A</v>
      </c>
      <c r="R254" s="534">
        <f t="shared" ca="1" si="250"/>
        <v>0</v>
      </c>
      <c r="S254" s="535" cm="1">
        <f t="array" aca="1" ref="S254" ca="1">SUM(IF(ISNUMBER(T$242:T254),1,0))+IF($J254&gt;Capas_VN_C1,1,0)</f>
        <v>4</v>
      </c>
      <c r="T254" s="50" t="e">
        <f t="shared" ca="1" si="249"/>
        <v>#N/A</v>
      </c>
      <c r="U254" s="50" t="e">
        <f t="shared" ca="1" si="244"/>
        <v>#N/A</v>
      </c>
      <c r="V254" s="50" t="e">
        <f t="shared" ca="1" si="245"/>
        <v>#N/A</v>
      </c>
      <c r="W254" s="50" t="str">
        <f t="shared" ca="1" si="246"/>
        <v>$U$245:$U$246</v>
      </c>
      <c r="X254" s="214" t="str">
        <f t="shared" ca="1" si="247"/>
        <v>$V$245:$V$246</v>
      </c>
      <c r="AB254" s="51"/>
      <c r="AC254" s="51"/>
      <c r="AD254" s="51"/>
      <c r="AE254" s="48"/>
      <c r="AF254" s="48"/>
      <c r="AG254" s="50"/>
      <c r="AH254" s="50"/>
      <c r="AI254" s="51"/>
      <c r="AJ254" s="50"/>
      <c r="AK254" s="55"/>
      <c r="AL254" s="55"/>
      <c r="AM254" s="51"/>
      <c r="AN254" s="51"/>
      <c r="AO254" s="51"/>
      <c r="AP254" s="48"/>
      <c r="AQ254" s="48"/>
      <c r="AR254" s="50"/>
      <c r="AS254" s="50"/>
      <c r="AT254" s="51"/>
      <c r="AU254" s="50"/>
      <c r="AV254" s="55"/>
      <c r="AW254" s="55"/>
      <c r="AX254" s="50"/>
      <c r="AY254" s="51"/>
      <c r="AZ254" s="51"/>
      <c r="BA254" s="48"/>
      <c r="BB254" s="48"/>
      <c r="BC254" s="50"/>
      <c r="BD254" s="50"/>
      <c r="BP254" s="53"/>
      <c r="BQ254" s="52"/>
      <c r="BR254" s="54"/>
      <c r="BS254" s="50"/>
      <c r="BT254" s="55"/>
      <c r="BU254" s="55"/>
      <c r="BV254" s="51"/>
      <c r="BW254" s="51"/>
      <c r="BX254" s="51"/>
      <c r="BY254" s="48"/>
      <c r="BZ254" s="48"/>
      <c r="CA254" s="50"/>
      <c r="CB254" s="52"/>
      <c r="CC254" s="54"/>
      <c r="CD254" s="50"/>
      <c r="CE254" s="55"/>
      <c r="CF254" s="55"/>
      <c r="CG254" s="51"/>
      <c r="CH254" s="51"/>
      <c r="CI254" s="51"/>
      <c r="CJ254" s="48"/>
      <c r="CK254" s="48"/>
      <c r="CL254" s="50"/>
      <c r="CM254" s="52"/>
      <c r="CN254" s="54"/>
      <c r="CO254" s="50"/>
      <c r="CP254" s="55"/>
      <c r="CQ254" s="55"/>
      <c r="CR254" s="51"/>
      <c r="CS254" s="51"/>
      <c r="CT254" s="51"/>
      <c r="CU254" s="48"/>
      <c r="CV254" s="48"/>
      <c r="CW254" s="50"/>
      <c r="CX254" s="50"/>
      <c r="CY254" s="54"/>
      <c r="CZ254" s="50"/>
      <c r="DA254" s="55"/>
      <c r="DB254" s="55"/>
      <c r="DC254" s="50"/>
      <c r="DD254" s="51"/>
      <c r="DE254" s="51"/>
      <c r="DF254" s="48"/>
      <c r="DG254" s="48"/>
      <c r="DH254" s="50"/>
      <c r="DI254" s="52"/>
    </row>
    <row r="255" spans="10:113" ht="15.75" thickBot="1" x14ac:dyDescent="0.3">
      <c r="J255" s="517"/>
      <c r="K255" s="53"/>
      <c r="L255" s="52"/>
      <c r="M255" s="62"/>
      <c r="N255" s="65"/>
      <c r="O255" s="65"/>
      <c r="P255" s="58"/>
      <c r="Q255" s="65"/>
      <c r="R255" s="65"/>
      <c r="S255" s="62"/>
      <c r="T255" s="65"/>
      <c r="U255" s="65"/>
      <c r="V255" s="65"/>
      <c r="W255" s="65"/>
      <c r="X255" s="61"/>
      <c r="AB255" s="51"/>
      <c r="AC255" s="51"/>
      <c r="AD255" s="51"/>
      <c r="AE255" s="48"/>
      <c r="AF255" s="48"/>
      <c r="AG255" s="50"/>
      <c r="AH255" s="50"/>
      <c r="AI255" s="51"/>
      <c r="AJ255" s="50"/>
      <c r="AK255" s="55"/>
      <c r="AL255" s="55"/>
      <c r="AM255" s="51"/>
      <c r="AN255" s="51"/>
      <c r="AO255" s="51"/>
      <c r="AP255" s="48"/>
      <c r="AQ255" s="48"/>
      <c r="AR255" s="50"/>
      <c r="AS255" s="50"/>
      <c r="AT255" s="51"/>
      <c r="AU255" s="50"/>
      <c r="AV255" s="55"/>
      <c r="AW255" s="55"/>
      <c r="AX255" s="50"/>
      <c r="AY255" s="51"/>
      <c r="AZ255" s="51"/>
      <c r="BA255" s="48"/>
      <c r="BB255" s="48"/>
      <c r="BC255" s="50"/>
      <c r="BD255" s="50"/>
      <c r="BP255" s="53"/>
      <c r="BQ255" s="52"/>
      <c r="BR255" s="54"/>
      <c r="BS255" s="50"/>
      <c r="BT255" s="55"/>
      <c r="BU255" s="55"/>
      <c r="BV255" s="51"/>
      <c r="BW255" s="51"/>
      <c r="BX255" s="51"/>
      <c r="BY255" s="48"/>
      <c r="BZ255" s="48"/>
      <c r="CA255" s="50"/>
      <c r="CB255" s="52"/>
      <c r="CC255" s="54"/>
      <c r="CD255" s="50"/>
      <c r="CE255" s="55"/>
      <c r="CF255" s="55"/>
      <c r="CG255" s="51"/>
      <c r="CH255" s="51"/>
      <c r="CI255" s="51"/>
      <c r="CJ255" s="48"/>
      <c r="CK255" s="48"/>
      <c r="CL255" s="50"/>
      <c r="CM255" s="52"/>
      <c r="CN255" s="54"/>
      <c r="CO255" s="50"/>
      <c r="CP255" s="55"/>
      <c r="CQ255" s="55"/>
      <c r="CR255" s="51"/>
      <c r="CS255" s="51"/>
      <c r="CT255" s="51"/>
      <c r="CU255" s="48"/>
      <c r="CV255" s="48"/>
      <c r="CW255" s="50"/>
      <c r="CX255" s="50"/>
      <c r="CY255" s="54"/>
      <c r="CZ255" s="50"/>
      <c r="DA255" s="55"/>
      <c r="DB255" s="55"/>
      <c r="DC255" s="50"/>
      <c r="DD255" s="51"/>
      <c r="DE255" s="51"/>
      <c r="DF255" s="48"/>
      <c r="DG255" s="48"/>
      <c r="DH255" s="50"/>
      <c r="DI255" s="52"/>
    </row>
    <row r="256" spans="10:113" ht="15.75" thickBot="1" x14ac:dyDescent="0.3">
      <c r="K256" s="68" t="s">
        <v>145</v>
      </c>
      <c r="L256" s="505">
        <v>18</v>
      </c>
      <c r="M256" s="506" t="s">
        <v>275</v>
      </c>
      <c r="N256" s="507">
        <v>24</v>
      </c>
      <c r="O256" s="36" t="s">
        <v>735</v>
      </c>
      <c r="P256" s="513">
        <v>604.52831805579035</v>
      </c>
      <c r="Y256" s="50"/>
      <c r="Z256" s="50"/>
      <c r="AA256" s="55"/>
      <c r="AI256" s="50"/>
      <c r="AK256" s="50"/>
      <c r="AL256" s="55"/>
      <c r="AT256" s="50"/>
      <c r="BP256" s="62"/>
      <c r="BQ256" s="63"/>
      <c r="BR256" s="62"/>
      <c r="BS256" s="65"/>
      <c r="BT256" s="64"/>
      <c r="BU256" s="58"/>
      <c r="BV256" s="58"/>
      <c r="BW256" s="58"/>
      <c r="BX256" s="58"/>
      <c r="BY256" s="58"/>
      <c r="BZ256" s="58"/>
      <c r="CA256" s="58"/>
      <c r="CB256" s="61"/>
      <c r="CC256" s="62"/>
      <c r="CD256" s="65"/>
      <c r="CE256" s="64"/>
      <c r="CF256" s="58"/>
      <c r="CG256" s="58"/>
      <c r="CH256" s="58"/>
      <c r="CI256" s="58"/>
      <c r="CJ256" s="58"/>
      <c r="CK256" s="58"/>
      <c r="CL256" s="58"/>
      <c r="CM256" s="61"/>
      <c r="CN256" s="62"/>
      <c r="CO256" s="58"/>
      <c r="CP256" s="65"/>
      <c r="CQ256" s="64"/>
      <c r="CR256" s="58"/>
      <c r="CS256" s="58"/>
      <c r="CT256" s="58"/>
      <c r="CU256" s="58"/>
      <c r="CV256" s="58"/>
      <c r="CW256" s="58"/>
      <c r="CX256" s="58"/>
      <c r="CY256" s="62"/>
      <c r="CZ256" s="58"/>
      <c r="DA256" s="58"/>
      <c r="DB256" s="58"/>
      <c r="DC256" s="58"/>
      <c r="DD256" s="58"/>
      <c r="DE256" s="58"/>
      <c r="DF256" s="58"/>
      <c r="DG256" s="58"/>
      <c r="DH256" s="58"/>
      <c r="DI256" s="61"/>
    </row>
    <row r="257" spans="10:113" x14ac:dyDescent="0.25">
      <c r="K257" s="75" t="s">
        <v>144</v>
      </c>
      <c r="L257" s="22">
        <v>0.69</v>
      </c>
      <c r="M257" s="80" t="s">
        <v>771</v>
      </c>
      <c r="N257" s="508">
        <v>0.68</v>
      </c>
      <c r="O257" s="68" t="s">
        <v>780</v>
      </c>
      <c r="P257" s="507" t="b">
        <v>0</v>
      </c>
      <c r="U257" s="22"/>
      <c r="V257" s="22"/>
      <c r="Y257" s="22"/>
      <c r="Z257" s="28"/>
      <c r="AA257" s="48"/>
      <c r="AI257" s="22"/>
      <c r="AJ257" s="28"/>
      <c r="AK257" s="48"/>
      <c r="AT257" s="22"/>
      <c r="AU257" s="28"/>
      <c r="AV257" s="48"/>
      <c r="BP257" s="68" t="s">
        <v>144</v>
      </c>
      <c r="BQ257" s="73" t="e">
        <f>IF([0]!Casilla2,φe_H1_C1,VLOOKUP(Seccion1!provincia_C1,datos_humedad_julio[],$L$57+1,FALSE))</f>
        <v>#NAME?</v>
      </c>
      <c r="BR257" s="111"/>
      <c r="BS257" s="77" t="s">
        <v>160</v>
      </c>
      <c r="BT257" s="70"/>
      <c r="BU257" s="38"/>
      <c r="BV257" s="38"/>
      <c r="BW257" s="38"/>
      <c r="BX257" s="38"/>
      <c r="BY257" s="71"/>
      <c r="BZ257" s="71"/>
      <c r="CA257" s="38"/>
      <c r="CB257" s="72"/>
      <c r="CC257" s="111"/>
      <c r="CD257" s="77" t="s">
        <v>160</v>
      </c>
      <c r="CE257" s="67"/>
      <c r="CF257" s="38"/>
      <c r="CG257" s="38"/>
      <c r="CH257" s="38"/>
      <c r="CI257" s="38"/>
      <c r="CJ257" s="38"/>
      <c r="CK257" s="38"/>
      <c r="CL257" s="38"/>
      <c r="CM257" s="72"/>
      <c r="CN257" s="111"/>
      <c r="CO257" s="77" t="s">
        <v>160</v>
      </c>
      <c r="CP257" s="67"/>
      <c r="CQ257" s="38"/>
      <c r="CR257" s="38"/>
      <c r="CS257" s="38"/>
      <c r="CT257" s="38"/>
      <c r="CU257" s="38"/>
      <c r="CV257" s="38"/>
      <c r="CW257" s="38"/>
      <c r="CX257" s="38"/>
      <c r="CY257" s="111"/>
      <c r="CZ257" s="77" t="s">
        <v>160</v>
      </c>
      <c r="DA257" s="67"/>
      <c r="DB257" s="38"/>
      <c r="DC257" s="38"/>
      <c r="DD257" s="38"/>
      <c r="DE257" s="38"/>
      <c r="DF257" s="38"/>
      <c r="DG257" s="38"/>
      <c r="DH257" s="38"/>
      <c r="DI257" s="72"/>
    </row>
    <row r="258" spans="10:113" x14ac:dyDescent="0.25">
      <c r="K258" s="75" t="s">
        <v>108</v>
      </c>
      <c r="L258" s="79">
        <v>2062.8300099568878</v>
      </c>
      <c r="M258" s="80" t="s">
        <v>109</v>
      </c>
      <c r="N258" s="78">
        <v>2982.1779778324158</v>
      </c>
      <c r="O258" s="75" t="s">
        <v>782</v>
      </c>
      <c r="P258" s="508">
        <v>0</v>
      </c>
      <c r="U258" s="48"/>
      <c r="V258" s="48"/>
      <c r="Y258" s="82"/>
      <c r="Z258" s="80"/>
      <c r="AA258" s="48"/>
      <c r="AI258" s="82"/>
      <c r="AJ258" s="80"/>
      <c r="AK258" s="48"/>
      <c r="AT258" s="82"/>
      <c r="AU258" s="80"/>
      <c r="AV258" s="48"/>
      <c r="BP258" s="75" t="s">
        <v>145</v>
      </c>
      <c r="BQ258" s="76" t="e">
        <f>IF([0]!Casilla2,φe_H1_C1,VLOOKUP(Seccion1!provincia_C1,datos_temperatura_julio[],$L$57+1,FALSE))</f>
        <v>#NAME?</v>
      </c>
      <c r="BR258" s="112"/>
      <c r="BS258" s="80" t="s">
        <v>162</v>
      </c>
      <c r="BT258" s="17"/>
      <c r="BY258" s="48"/>
      <c r="BZ258" s="48"/>
      <c r="CB258" s="49"/>
      <c r="CC258" s="112"/>
      <c r="CD258" s="80" t="s">
        <v>162</v>
      </c>
      <c r="CE258" s="48"/>
      <c r="CM258" s="49"/>
      <c r="CN258" s="112"/>
      <c r="CO258" s="80" t="s">
        <v>162</v>
      </c>
      <c r="CP258" s="48"/>
      <c r="CY258" s="112"/>
      <c r="CZ258" s="80" t="s">
        <v>162</v>
      </c>
      <c r="DA258" s="48"/>
      <c r="DI258" s="49"/>
    </row>
    <row r="259" spans="10:113" ht="18.75" thickBot="1" x14ac:dyDescent="0.4">
      <c r="K259" s="486" t="s">
        <v>156</v>
      </c>
      <c r="L259" s="509">
        <v>1423.3527068702524</v>
      </c>
      <c r="M259" s="115" t="s">
        <v>781</v>
      </c>
      <c r="N259" s="487">
        <v>2027.8810249260428</v>
      </c>
      <c r="O259" s="75" t="s">
        <v>161</v>
      </c>
      <c r="P259" s="508">
        <v>2.0050291472003553E-11</v>
      </c>
      <c r="Y259" s="79"/>
      <c r="Z259" s="80"/>
      <c r="AA259" s="79"/>
      <c r="AI259" s="79"/>
      <c r="AJ259" s="80"/>
      <c r="AK259" s="79"/>
      <c r="AT259" s="79"/>
      <c r="AU259" s="80"/>
      <c r="AV259" s="79"/>
      <c r="BP259" s="75" t="s">
        <v>108</v>
      </c>
      <c r="BQ259" s="78">
        <f ca="1">IF(ISNUMBER(ϴe_H3_C1),IF(ϴe_H3_C1&gt;=0,610.5*EXP((17.269*ϴe_H3_C1)/(237.3+ϴe_H3_C1)),610.5*EXP((21.875*ϴe_H3_C1)/(265.5+ϴe_H3_C1))),NA())</f>
        <v>871.86452524041533</v>
      </c>
      <c r="BR259" s="113"/>
      <c r="BS259" s="80" t="s">
        <v>125</v>
      </c>
      <c r="BT259" s="79"/>
      <c r="CB259" s="49"/>
      <c r="CC259" s="113"/>
      <c r="CD259" s="80" t="s">
        <v>125</v>
      </c>
      <c r="CE259" s="79"/>
      <c r="CM259" s="49"/>
      <c r="CN259" s="113"/>
      <c r="CO259" s="80" t="s">
        <v>125</v>
      </c>
      <c r="CP259" s="79"/>
      <c r="CY259" s="113"/>
      <c r="CZ259" s="80" t="s">
        <v>125</v>
      </c>
      <c r="DA259" s="79"/>
      <c r="DI259" s="49"/>
    </row>
    <row r="260" spans="10:113" ht="18" x14ac:dyDescent="0.35">
      <c r="K260" s="68" t="s">
        <v>779</v>
      </c>
      <c r="L260" s="70" t="b">
        <v>0</v>
      </c>
      <c r="M260" s="38"/>
      <c r="N260" s="72"/>
      <c r="O260" s="75" t="s">
        <v>628</v>
      </c>
      <c r="P260" s="49"/>
      <c r="Y260" s="79"/>
      <c r="Z260" s="80"/>
      <c r="AA260" s="82"/>
      <c r="AI260" s="79"/>
      <c r="AJ260" s="80"/>
      <c r="AK260" s="82"/>
      <c r="AT260" s="79"/>
      <c r="AU260" s="80"/>
      <c r="AV260" s="82"/>
      <c r="BP260" s="81" t="s">
        <v>109</v>
      </c>
      <c r="BQ260" s="78" t="e">
        <f>IF(ISNUMBER([0]!ϴi_C1),IF([0]!ϴi_C1&gt;=0,610.5*EXP((17.269*[0]!ϴi_C1)/(237.3+[0]!ϴi_C1)),610.5*EXP((21.875*[0]!ϴi_C1)/(265.5+[0]!ϴi_C1))),NA())</f>
        <v>#N/A</v>
      </c>
      <c r="BR260" s="113"/>
      <c r="BS260" s="80" t="s">
        <v>126</v>
      </c>
      <c r="BT260" s="82"/>
      <c r="CB260" s="49"/>
      <c r="CC260" s="113"/>
      <c r="CD260" s="80" t="s">
        <v>126</v>
      </c>
      <c r="CE260" s="82"/>
      <c r="CM260" s="49"/>
      <c r="CN260" s="113"/>
      <c r="CO260" s="80" t="s">
        <v>126</v>
      </c>
      <c r="CP260" s="82"/>
      <c r="CY260" s="113"/>
      <c r="CZ260" s="80" t="s">
        <v>126</v>
      </c>
      <c r="DA260" s="82"/>
      <c r="DI260" s="49"/>
    </row>
    <row r="261" spans="10:113" ht="18" x14ac:dyDescent="0.35">
      <c r="K261" s="75" t="s">
        <v>125</v>
      </c>
      <c r="L261" s="79">
        <v>2534.8512811575533</v>
      </c>
      <c r="M261" s="80" t="s">
        <v>126</v>
      </c>
      <c r="N261" s="76">
        <v>21.319964890986341</v>
      </c>
      <c r="O261" s="43"/>
      <c r="P261" s="49"/>
      <c r="Y261" s="79"/>
      <c r="Z261" s="80"/>
      <c r="AA261" s="83"/>
      <c r="AI261" s="79"/>
      <c r="AJ261" s="80"/>
      <c r="AK261" s="83"/>
      <c r="AT261" s="79"/>
      <c r="AU261" s="80"/>
      <c r="AV261" s="83"/>
      <c r="BP261" s="75" t="s">
        <v>156</v>
      </c>
      <c r="BQ261" s="78">
        <f ca="1">P_sat_e_VN_C1*φe_H3_C1</f>
        <v>767.24078221156549</v>
      </c>
      <c r="BR261" s="113"/>
      <c r="BS261" s="80" t="s">
        <v>127</v>
      </c>
      <c r="BT261" s="83"/>
      <c r="CB261" s="49"/>
      <c r="CC261" s="113"/>
      <c r="CD261" s="80" t="s">
        <v>127</v>
      </c>
      <c r="CE261" s="83"/>
      <c r="CM261" s="49"/>
      <c r="CN261" s="113"/>
      <c r="CO261" s="80" t="s">
        <v>127</v>
      </c>
      <c r="CP261" s="83"/>
      <c r="CY261" s="113"/>
      <c r="CZ261" s="80" t="s">
        <v>127</v>
      </c>
      <c r="DA261" s="83"/>
      <c r="DI261" s="49"/>
    </row>
    <row r="262" spans="10:113" ht="18.75" thickBot="1" x14ac:dyDescent="0.4">
      <c r="K262" s="486" t="s">
        <v>127</v>
      </c>
      <c r="L262" s="512">
        <v>0.55332748183105684</v>
      </c>
      <c r="M262" s="115" t="s">
        <v>122</v>
      </c>
      <c r="N262" s="510">
        <v>0.29104096337270213</v>
      </c>
      <c r="O262" s="57"/>
      <c r="P262" s="61"/>
      <c r="Y262" s="22"/>
      <c r="Z262" s="80"/>
      <c r="AA262" s="22"/>
      <c r="AI262" s="22"/>
      <c r="AJ262" s="80"/>
      <c r="AK262" s="22"/>
      <c r="AT262" s="22"/>
      <c r="AU262" s="80"/>
      <c r="AV262" s="22"/>
      <c r="BP262" s="75"/>
      <c r="BR262" s="114"/>
      <c r="BS262" s="80" t="s">
        <v>122</v>
      </c>
      <c r="BT262" s="22"/>
      <c r="CB262" s="49"/>
      <c r="CC262" s="114"/>
      <c r="CD262" s="80" t="s">
        <v>122</v>
      </c>
      <c r="CE262" s="22"/>
      <c r="CM262" s="49"/>
      <c r="CN262" s="114"/>
      <c r="CO262" s="80" t="s">
        <v>122</v>
      </c>
      <c r="CP262" s="22"/>
      <c r="CY262" s="114"/>
      <c r="CZ262" s="80" t="s">
        <v>122</v>
      </c>
      <c r="DA262" s="22"/>
      <c r="DI262" s="49"/>
    </row>
    <row r="263" spans="10:113" x14ac:dyDescent="0.25">
      <c r="K263" s="80"/>
      <c r="N263" s="28"/>
      <c r="O263" s="17"/>
      <c r="Z263" s="28"/>
      <c r="AA263" s="17"/>
      <c r="AJ263" s="28"/>
      <c r="AK263" s="17"/>
      <c r="AU263" s="28"/>
      <c r="AV263" s="17"/>
      <c r="BP263" s="43"/>
      <c r="BQ263" s="49"/>
      <c r="BR263" s="43"/>
      <c r="BS263" s="28" t="s">
        <v>159</v>
      </c>
      <c r="BT263" s="17"/>
      <c r="CB263" s="49"/>
      <c r="CC263" s="43"/>
      <c r="CD263" s="28" t="s">
        <v>159</v>
      </c>
      <c r="CE263" s="17"/>
      <c r="CM263" s="49"/>
      <c r="CN263" s="43"/>
      <c r="CO263" s="28" t="s">
        <v>159</v>
      </c>
      <c r="CP263" s="17"/>
      <c r="CY263" s="43"/>
      <c r="CZ263" s="28" t="s">
        <v>159</v>
      </c>
      <c r="DA263" s="17"/>
      <c r="DI263" s="49"/>
    </row>
    <row r="264" spans="10:113" ht="15.75" thickBot="1" x14ac:dyDescent="0.3">
      <c r="K264" s="80"/>
      <c r="N264" s="80"/>
      <c r="Z264" s="80"/>
      <c r="AA264" s="17"/>
      <c r="AJ264" s="80"/>
      <c r="AK264" s="17"/>
      <c r="AU264" s="80"/>
      <c r="AV264" s="17"/>
      <c r="BP264" s="57"/>
      <c r="BQ264" s="61"/>
      <c r="BR264" s="57"/>
      <c r="BS264" s="115" t="s">
        <v>161</v>
      </c>
      <c r="BT264" s="58"/>
      <c r="BU264" s="58"/>
      <c r="BV264" s="58"/>
      <c r="BW264" s="58"/>
      <c r="BX264" s="58"/>
      <c r="BY264" s="58"/>
      <c r="BZ264" s="58"/>
      <c r="CA264" s="58"/>
      <c r="CB264" s="61"/>
      <c r="CC264" s="57"/>
      <c r="CD264" s="115" t="s">
        <v>161</v>
      </c>
      <c r="CE264" s="84"/>
      <c r="CF264" s="58"/>
      <c r="CG264" s="58"/>
      <c r="CH264" s="58"/>
      <c r="CI264" s="58"/>
      <c r="CJ264" s="58"/>
      <c r="CK264" s="58"/>
      <c r="CL264" s="58"/>
      <c r="CM264" s="61"/>
      <c r="CN264" s="57"/>
      <c r="CO264" s="115" t="s">
        <v>161</v>
      </c>
      <c r="CP264" s="84"/>
      <c r="CQ264" s="58"/>
      <c r="CR264" s="58"/>
      <c r="CS264" s="58"/>
      <c r="CT264" s="58"/>
      <c r="CU264" s="58"/>
      <c r="CV264" s="58"/>
      <c r="CW264" s="58"/>
      <c r="CX264" s="58"/>
      <c r="CY264" s="57"/>
      <c r="CZ264" s="115" t="s">
        <v>161</v>
      </c>
      <c r="DA264" s="84"/>
      <c r="DB264" s="58"/>
      <c r="DC264" s="58"/>
      <c r="DD264" s="58"/>
      <c r="DE264" s="58"/>
      <c r="DF264" s="58"/>
      <c r="DG264" s="58"/>
      <c r="DH264" s="58"/>
      <c r="DI264" s="61"/>
    </row>
    <row r="265" spans="10:113" ht="15.75" thickBot="1" x14ac:dyDescent="0.3">
      <c r="K265" s="516" t="s">
        <v>179</v>
      </c>
      <c r="L265" s="30">
        <v>7</v>
      </c>
      <c r="M265" s="110" t="str">
        <f>VLOOKUP(L265,Aux!$AL$72:$AM$83,2,FALSE)</f>
        <v>Julio</v>
      </c>
      <c r="N265" s="32"/>
      <c r="O265" s="32"/>
      <c r="P265" s="32"/>
      <c r="Q265" s="540"/>
      <c r="R265" s="32"/>
      <c r="S265" s="32"/>
      <c r="T265" s="32"/>
      <c r="U265" s="32"/>
      <c r="V265" s="32"/>
      <c r="W265" s="32"/>
      <c r="X265" s="33"/>
      <c r="Y265" s="32"/>
      <c r="Z265" s="32"/>
      <c r="AA265" s="33"/>
    </row>
    <row r="266" spans="10:113" ht="15.75" thickBot="1" x14ac:dyDescent="0.3">
      <c r="K266" s="42" t="s">
        <v>120</v>
      </c>
      <c r="L266" s="41" t="s">
        <v>121</v>
      </c>
      <c r="M266" s="515" t="s">
        <v>265</v>
      </c>
      <c r="N266" s="35" t="s">
        <v>146</v>
      </c>
      <c r="O266" s="35" t="s">
        <v>806</v>
      </c>
      <c r="P266" s="35" t="s">
        <v>167</v>
      </c>
      <c r="Q266" s="35" t="s">
        <v>807</v>
      </c>
      <c r="R266" s="35" t="s">
        <v>783</v>
      </c>
      <c r="S266" s="532" t="s">
        <v>170</v>
      </c>
      <c r="T266" s="40" t="s">
        <v>178</v>
      </c>
      <c r="U266" s="40" t="s">
        <v>169</v>
      </c>
      <c r="V266" s="40" t="s">
        <v>168</v>
      </c>
      <c r="W266" s="40" t="s">
        <v>175</v>
      </c>
      <c r="X266" s="41" t="s">
        <v>176</v>
      </c>
      <c r="Y266" s="40"/>
      <c r="Z266" s="40"/>
      <c r="AA266" s="41"/>
      <c r="AB266" s="80"/>
      <c r="AG266" s="80"/>
      <c r="AH266" s="17"/>
      <c r="AI266" s="17"/>
      <c r="AJ266" s="80"/>
      <c r="AK266" s="22"/>
      <c r="AM266" s="80"/>
      <c r="AN266" s="80"/>
      <c r="AO266" s="80"/>
      <c r="AP266" s="80"/>
      <c r="AQ266" s="80"/>
      <c r="AR266" s="80"/>
      <c r="AS266" s="17"/>
      <c r="AT266" s="17"/>
      <c r="AU266" s="80"/>
      <c r="AV266" s="22"/>
      <c r="AX266" s="80"/>
      <c r="AY266" s="80"/>
      <c r="AZ266" s="80"/>
      <c r="BA266" s="80"/>
      <c r="BB266" s="80"/>
      <c r="BC266" s="80"/>
      <c r="BD266" s="17"/>
      <c r="BP266" s="29" t="s">
        <v>179</v>
      </c>
      <c r="BQ266" s="30">
        <v>8</v>
      </c>
      <c r="BR266" s="110"/>
      <c r="BS266" s="34" t="s">
        <v>163</v>
      </c>
      <c r="BT266" s="31">
        <f ca="1">P_sat_i_VN_C1*VLOOKUP(1,φi[],2,FALSE)</f>
        <v>1519.0182434715223</v>
      </c>
      <c r="BU266" s="32"/>
      <c r="BV266" s="32"/>
      <c r="BW266" s="32"/>
      <c r="BX266" s="32"/>
      <c r="BY266" s="32"/>
      <c r="BZ266" s="32"/>
      <c r="CA266" s="34" t="s">
        <v>267</v>
      </c>
      <c r="CB266" s="30">
        <f>VLOOKUP(1,φi[],2,FALSE)</f>
        <v>0.65</v>
      </c>
      <c r="CC266" s="110"/>
      <c r="CD266" s="34" t="s">
        <v>164</v>
      </c>
      <c r="CE266" s="31">
        <f ca="1">P_sat_i_VN_C1*VLOOKUP(2,φi[],2,FALSE)</f>
        <v>1752.7133578517564</v>
      </c>
      <c r="CF266" s="34"/>
      <c r="CG266" s="34"/>
      <c r="CH266" s="32"/>
      <c r="CI266" s="32"/>
      <c r="CJ266" s="32"/>
      <c r="CK266" s="32"/>
      <c r="CL266" s="34" t="s">
        <v>268</v>
      </c>
      <c r="CM266" s="30">
        <f>VLOOKUP(2,φi[],2,FALSE)</f>
        <v>0.75</v>
      </c>
      <c r="CN266" s="110"/>
      <c r="CO266" s="34" t="s">
        <v>165</v>
      </c>
      <c r="CP266" s="31">
        <f ca="1">P_sat_i_VN_C1*VLOOKUP(3,φi[],2,FALSE)</f>
        <v>1869.5609150418736</v>
      </c>
      <c r="CQ266" s="32"/>
      <c r="CR266" s="34"/>
      <c r="CS266" s="34"/>
      <c r="CT266" s="34"/>
      <c r="CU266" s="34"/>
      <c r="CV266" s="34"/>
      <c r="CW266" s="34" t="s">
        <v>269</v>
      </c>
      <c r="CX266" s="116">
        <f>VLOOKUP(3,φi[],2,FALSE)</f>
        <v>0.8</v>
      </c>
      <c r="CY266" s="110"/>
      <c r="CZ266" s="34" t="s">
        <v>166</v>
      </c>
      <c r="DA266" s="31">
        <f ca="1">P_sat_i_VN_C1*Seccion1!φi_C1</f>
        <v>747.82436601674965</v>
      </c>
      <c r="DB266" s="32"/>
      <c r="DC266" s="34"/>
      <c r="DD266" s="34"/>
      <c r="DE266" s="34"/>
      <c r="DF266" s="34"/>
      <c r="DG266" s="34"/>
      <c r="DH266" s="34" t="s">
        <v>154</v>
      </c>
      <c r="DI266" s="30"/>
    </row>
    <row r="267" spans="10:113" x14ac:dyDescent="0.25">
      <c r="J267" s="517"/>
      <c r="K267" s="46">
        <v>19</v>
      </c>
      <c r="L267" s="47">
        <v>2196.1512432322252</v>
      </c>
      <c r="M267" s="54"/>
      <c r="N267" s="44" t="s">
        <v>107</v>
      </c>
      <c r="O267" s="44" t="e">
        <v>#N/A</v>
      </c>
      <c r="P267" s="15" t="e">
        <v>#N/A</v>
      </c>
      <c r="Q267" s="541"/>
      <c r="R267" s="44"/>
      <c r="S267" s="533"/>
      <c r="T267" s="44"/>
      <c r="U267" s="44"/>
      <c r="V267" s="44"/>
      <c r="W267" s="44"/>
      <c r="X267" s="531"/>
      <c r="Y267" s="44"/>
      <c r="Z267" s="44"/>
      <c r="AA267" s="531"/>
      <c r="AB267" s="35"/>
      <c r="AC267" s="35"/>
      <c r="AD267" s="35"/>
      <c r="AE267" s="35"/>
      <c r="AF267" s="35"/>
      <c r="AG267" s="35"/>
      <c r="AH267" s="35"/>
      <c r="AI267" s="511"/>
      <c r="AJ267" s="35"/>
      <c r="AK267" s="35"/>
      <c r="AL267" s="35"/>
      <c r="AM267" s="35"/>
      <c r="AN267" s="35"/>
      <c r="AO267" s="35"/>
      <c r="AP267" s="35"/>
      <c r="AQ267" s="35"/>
      <c r="AR267" s="35"/>
      <c r="AS267" s="35"/>
      <c r="AT267" s="511"/>
      <c r="AU267" s="35"/>
      <c r="AV267" s="35"/>
      <c r="AW267" s="35"/>
      <c r="AX267" s="35"/>
      <c r="AY267" s="35"/>
      <c r="AZ267" s="35"/>
      <c r="BA267" s="35"/>
      <c r="BB267" s="35"/>
      <c r="BC267" s="35"/>
      <c r="BD267" s="35"/>
      <c r="BP267" s="42" t="s">
        <v>120</v>
      </c>
      <c r="BQ267" s="41" t="s">
        <v>121</v>
      </c>
      <c r="BR267" s="42" t="s">
        <v>265</v>
      </c>
      <c r="BS267" s="40" t="s">
        <v>146</v>
      </c>
      <c r="BT267" s="40" t="s">
        <v>147</v>
      </c>
      <c r="BU267" s="40" t="s">
        <v>170</v>
      </c>
      <c r="BV267" s="40" t="s">
        <v>178</v>
      </c>
      <c r="BW267" s="40" t="s">
        <v>169</v>
      </c>
      <c r="BX267" s="40" t="s">
        <v>168</v>
      </c>
      <c r="BY267" s="40" t="s">
        <v>175</v>
      </c>
      <c r="BZ267" s="40" t="s">
        <v>176</v>
      </c>
      <c r="CA267" s="40" t="s">
        <v>167</v>
      </c>
      <c r="CB267" s="41" t="s">
        <v>266</v>
      </c>
      <c r="CC267" s="42" t="s">
        <v>265</v>
      </c>
      <c r="CD267" s="40" t="s">
        <v>148</v>
      </c>
      <c r="CE267" s="40" t="s">
        <v>149</v>
      </c>
      <c r="CF267" s="40" t="s">
        <v>170</v>
      </c>
      <c r="CG267" s="40" t="s">
        <v>178</v>
      </c>
      <c r="CH267" s="40" t="s">
        <v>169</v>
      </c>
      <c r="CI267" s="40" t="s">
        <v>168</v>
      </c>
      <c r="CJ267" s="40" t="s">
        <v>175</v>
      </c>
      <c r="CK267" s="40" t="s">
        <v>176</v>
      </c>
      <c r="CL267" s="40" t="s">
        <v>171</v>
      </c>
      <c r="CM267" s="41" t="s">
        <v>266</v>
      </c>
      <c r="CN267" s="42" t="s">
        <v>265</v>
      </c>
      <c r="CO267" s="40" t="s">
        <v>150</v>
      </c>
      <c r="CP267" s="40" t="s">
        <v>151</v>
      </c>
      <c r="CQ267" s="40" t="s">
        <v>170</v>
      </c>
      <c r="CR267" s="40" t="s">
        <v>178</v>
      </c>
      <c r="CS267" s="40" t="s">
        <v>169</v>
      </c>
      <c r="CT267" s="40" t="s">
        <v>168</v>
      </c>
      <c r="CU267" s="40" t="s">
        <v>175</v>
      </c>
      <c r="CV267" s="40" t="s">
        <v>176</v>
      </c>
      <c r="CW267" s="40" t="s">
        <v>172</v>
      </c>
      <c r="CX267" s="41" t="s">
        <v>266</v>
      </c>
      <c r="CY267" s="42" t="s">
        <v>265</v>
      </c>
      <c r="CZ267" s="40" t="s">
        <v>152</v>
      </c>
      <c r="DA267" s="40" t="s">
        <v>153</v>
      </c>
      <c r="DB267" s="40" t="s">
        <v>170</v>
      </c>
      <c r="DC267" s="40" t="s">
        <v>178</v>
      </c>
      <c r="DD267" s="40" t="s">
        <v>169</v>
      </c>
      <c r="DE267" s="40" t="s">
        <v>168</v>
      </c>
      <c r="DF267" s="40" t="s">
        <v>175</v>
      </c>
      <c r="DG267" s="40" t="s">
        <v>176</v>
      </c>
      <c r="DH267" s="40" t="s">
        <v>177</v>
      </c>
      <c r="DI267" s="41" t="s">
        <v>266</v>
      </c>
    </row>
    <row r="268" spans="10:113" x14ac:dyDescent="0.25">
      <c r="J268" s="517"/>
      <c r="K268" s="53">
        <v>19.03181489515546</v>
      </c>
      <c r="L268" s="47">
        <v>2200.5137643695753</v>
      </c>
      <c r="M268" s="54">
        <v>14.072548750988989</v>
      </c>
      <c r="N268" s="50">
        <v>1603.1904075595244</v>
      </c>
      <c r="O268" s="55">
        <v>0</v>
      </c>
      <c r="P268" s="50">
        <f ca="1">IF(ISNA(T268),
_xlfn.FORECAST.LINEAR($J60,INDIRECT(W268),INDIRECT(X268)),T268)</f>
        <v>1603.1904075595244</v>
      </c>
      <c r="Q268" s="514"/>
      <c r="R268" s="50"/>
      <c r="S268" s="535" cm="1">
        <f t="array" ref="S268">SUM(IF(ISNUMBER(T$268:T268),1,0))+IF($J268&gt;Capas_VN_C1,1,0)</f>
        <v>1</v>
      </c>
      <c r="T268" s="50">
        <f>IF(O268=1,$L268,L285)</f>
        <v>1603.1904075595244</v>
      </c>
      <c r="U268" s="50">
        <f>VLOOKUP($J269,$S$268:$T$280,2,FALSE)</f>
        <v>1603.1904075595244</v>
      </c>
      <c r="V268" s="50">
        <f>INDEX($J$60:$J$72,MATCH(U268,T$268:T$280,0))</f>
        <v>0</v>
      </c>
      <c r="W268" s="50" t="str">
        <f>CONCATENATE(ADDRESS(ROW(U$268)-1+S268,COLUMN(U$268)),":",ADDRESS(ROW(U$268)+S268,COLUMN(U$268)))</f>
        <v>$U$268:$U$269</v>
      </c>
      <c r="X268" s="214" t="str">
        <f>CONCATENATE(ADDRESS(ROW(V$268)-1+S268,COLUMN(V$268)),":",ADDRESS(ROW(V$268)+S268,COLUMN(V$268)))</f>
        <v>$V$268:$V$269</v>
      </c>
      <c r="Y268" s="50"/>
      <c r="Z268" s="50"/>
      <c r="AA268" s="214"/>
      <c r="AC268" s="48"/>
      <c r="AD268" s="48"/>
      <c r="AE268" s="48"/>
      <c r="AF268" s="48"/>
      <c r="AI268" s="51"/>
      <c r="AJ268" s="44"/>
      <c r="AK268" s="44"/>
      <c r="AN268" s="48"/>
      <c r="AO268" s="48"/>
      <c r="AP268" s="48"/>
      <c r="AQ268" s="48"/>
      <c r="AT268" s="51"/>
      <c r="AU268" s="44"/>
      <c r="AV268" s="44"/>
      <c r="AY268" s="48"/>
      <c r="AZ268" s="48"/>
      <c r="BA268" s="48"/>
      <c r="BB268" s="48"/>
      <c r="BP268" s="46"/>
      <c r="BQ268" s="52"/>
      <c r="BR268" s="54"/>
      <c r="BS268" s="44"/>
      <c r="BT268" s="44"/>
      <c r="BW268" s="48"/>
      <c r="BX268" s="48"/>
      <c r="BY268" s="48"/>
      <c r="BZ268" s="48"/>
      <c r="CB268" s="49"/>
      <c r="CC268" s="54"/>
      <c r="CD268" s="44"/>
      <c r="CE268" s="44"/>
      <c r="CH268" s="48"/>
      <c r="CI268" s="48"/>
      <c r="CJ268" s="48"/>
      <c r="CK268" s="48"/>
      <c r="CM268" s="49"/>
      <c r="CN268" s="54"/>
      <c r="CO268" s="44"/>
      <c r="CP268" s="44"/>
      <c r="CS268" s="48"/>
      <c r="CT268" s="48"/>
      <c r="CU268" s="48"/>
      <c r="CV268" s="48"/>
      <c r="CY268" s="54"/>
      <c r="CZ268" s="44"/>
      <c r="DA268" s="44"/>
      <c r="DD268" s="48"/>
      <c r="DE268" s="48"/>
      <c r="DF268" s="48"/>
      <c r="DG268" s="48"/>
      <c r="DI268" s="49"/>
    </row>
    <row r="269" spans="10:113" x14ac:dyDescent="0.25">
      <c r="J269" s="15">
        <v>1</v>
      </c>
      <c r="K269" s="53">
        <v>19.071583514099782</v>
      </c>
      <c r="L269" s="47">
        <v>2205.9775762931549</v>
      </c>
      <c r="M269" s="54">
        <v>17.769906692555853</v>
      </c>
      <c r="N269" s="50">
        <v>2031.9356145846011</v>
      </c>
      <c r="O269" s="55">
        <f t="array" aca="1" ref="O269:O280" ca="1">IF((N269:N280&gt;=L269:L280)+(R243:R254&gt;0),1,0)</f>
        <v>1</v>
      </c>
      <c r="P269" s="50">
        <f t="shared" ref="P269:P280" ca="1" si="251">IF(ISNA(T269),
_xlfn.FORECAST.LINEAR($J61,INDIRECT(W269),INDIRECT(X269)),T269)</f>
        <v>2205.9775762931549</v>
      </c>
      <c r="Q269" s="534">
        <f ca="1">IF(O269=1,δ_0*(SLOPE(INDIRECT(VLOOKUP(S269,$S$268:$X$280,5,FALSE)),INDIRECT(VLOOKUP(S269,$S$268:$X$280,6,FALSE)))-SLOPE(INDIRECT(VLOOKUP(S269-1,$S$268:$X$280,5,FALSE)),INDIRECT(VLOOKUP(S269-1,$S$268:$X$280,6,FALSE)))),0)*86400*VLOOKUP($L$265,Aux!$AL$72:$AN$83,3,FALSE)</f>
        <v>-1.0915095327251886E-4</v>
      </c>
      <c r="R269" s="534">
        <f ca="1">IFERROR(IF(Q269+R243&lt;0,0,Q269+R243),0)</f>
        <v>8.7583198746492882E-4</v>
      </c>
      <c r="S269" s="535" cm="1">
        <f t="array" aca="1" ref="S269" ca="1">SUM(IF(ISNUMBER(T$268:T269),1,0))+IF($J269&gt;Capas_VN_C1,1,0)</f>
        <v>2</v>
      </c>
      <c r="T269" s="50">
        <f t="shared" ref="T269:T280" ca="1" si="252">IF(O269=1,$L269,IF(J269=Capas_VN_C1,$N$285,NA()))</f>
        <v>2205.9775762931549</v>
      </c>
      <c r="U269" s="50">
        <f t="shared" ref="U269:U280" ca="1" si="253">VLOOKUP($J270,$S$268:$T$280,2,FALSE)</f>
        <v>2205.9775762931549</v>
      </c>
      <c r="V269" s="50">
        <f t="shared" ref="V269:V280" ca="1" si="254">INDEX($J$60:$J$72,MATCH(U269,T$268:T$280,0))</f>
        <v>5000</v>
      </c>
      <c r="W269" s="50" t="str">
        <f t="shared" ref="W269:W280" ca="1" si="255">CONCATENATE(ADDRESS(ROW(U$268)-1+S269,COLUMN(U$268)),":",ADDRESS(ROW(U$268)+S269,COLUMN(U$268)))</f>
        <v>$U$269:$U$270</v>
      </c>
      <c r="X269" s="214" t="str">
        <f t="shared" ref="X269:X280" ca="1" si="256">CONCATENATE(ADDRESS(ROW(V$268)-1+S269,COLUMN(V$268)),":",ADDRESS(ROW(V$268)+S269,COLUMN(V$268)))</f>
        <v>$V$269:$V$270</v>
      </c>
      <c r="Y269" s="50"/>
      <c r="Z269" s="50"/>
      <c r="AA269" s="214"/>
      <c r="AB269" s="51"/>
      <c r="AC269" s="51"/>
      <c r="AD269" s="51"/>
      <c r="AE269" s="48"/>
      <c r="AF269" s="48"/>
      <c r="AG269" s="50"/>
      <c r="AH269" s="50"/>
      <c r="AI269" s="51"/>
      <c r="AJ269" s="50"/>
      <c r="AK269" s="55"/>
      <c r="AL269" s="55"/>
      <c r="AM269" s="51"/>
      <c r="AN269" s="51"/>
      <c r="AO269" s="51"/>
      <c r="AP269" s="48"/>
      <c r="AQ269" s="48"/>
      <c r="AR269" s="50"/>
      <c r="AS269" s="50"/>
      <c r="AT269" s="51"/>
      <c r="AU269" s="50"/>
      <c r="AV269" s="55"/>
      <c r="AW269" s="55"/>
      <c r="AX269" s="50"/>
      <c r="AY269" s="51"/>
      <c r="AZ269" s="51"/>
      <c r="BA269" s="48"/>
      <c r="BB269" s="48"/>
      <c r="BC269" s="50"/>
      <c r="BD269" s="50"/>
      <c r="BP269" s="53"/>
      <c r="BQ269" s="52"/>
      <c r="BR269" s="54"/>
      <c r="BS269" s="50"/>
      <c r="BT269" s="55"/>
      <c r="BU269" s="55"/>
      <c r="BV269" s="51"/>
      <c r="BW269" s="51"/>
      <c r="BX269" s="51"/>
      <c r="BY269" s="48"/>
      <c r="BZ269" s="48"/>
      <c r="CA269" s="50"/>
      <c r="CB269" s="52"/>
      <c r="CC269" s="54"/>
      <c r="CD269" s="50"/>
      <c r="CE269" s="55"/>
      <c r="CF269" s="55"/>
      <c r="CG269" s="51"/>
      <c r="CH269" s="51"/>
      <c r="CI269" s="51"/>
      <c r="CJ269" s="48"/>
      <c r="CK269" s="48"/>
      <c r="CL269" s="50"/>
      <c r="CM269" s="52"/>
      <c r="CN269" s="54"/>
      <c r="CO269" s="50"/>
      <c r="CP269" s="55"/>
      <c r="CQ269" s="55"/>
      <c r="CR269" s="51"/>
      <c r="CS269" s="51"/>
      <c r="CT269" s="51"/>
      <c r="CU269" s="48"/>
      <c r="CV269" s="48"/>
      <c r="CW269" s="50"/>
      <c r="CX269" s="50"/>
      <c r="CY269" s="54"/>
      <c r="CZ269" s="50"/>
      <c r="DA269" s="55"/>
      <c r="DB269" s="55"/>
      <c r="DC269" s="50"/>
      <c r="DD269" s="51"/>
      <c r="DE269" s="51"/>
      <c r="DF269" s="48"/>
      <c r="DG269" s="48"/>
      <c r="DH269" s="50"/>
      <c r="DI269" s="52"/>
    </row>
    <row r="270" spans="10:113" x14ac:dyDescent="0.25">
      <c r="J270" s="15">
        <v>2</v>
      </c>
      <c r="K270" s="53">
        <v>21.457700650759218</v>
      </c>
      <c r="L270" s="47">
        <v>2556.3217531821374</v>
      </c>
      <c r="M270" s="54">
        <v>17.779918840497551</v>
      </c>
      <c r="N270" s="50">
        <v>2033.2218502056762</v>
      </c>
      <c r="O270" s="55">
        <f ca="1"/>
        <v>0</v>
      </c>
      <c r="P270" s="50">
        <f t="shared" ca="1" si="251"/>
        <v>2204.7295154966978</v>
      </c>
      <c r="Q270" s="534">
        <f ca="1">IF(O270=1,δ_0*(SLOPE(INDIRECT(VLOOKUP(S270,$S$268:$X$280,5,FALSE)),INDIRECT(VLOOKUP(S270,$S$268:$X$280,6,FALSE)))-SLOPE(INDIRECT(VLOOKUP(S270-1,$S$268:$X$280,5,FALSE)),INDIRECT(VLOOKUP(S270-1,$S$268:$X$280,6,FALSE)))),0)*86400*VLOOKUP($L$265,Aux!$AL$72:$AN$83,3,FALSE)</f>
        <v>0</v>
      </c>
      <c r="R270" s="534">
        <f t="shared" ref="R270:R280" ca="1" si="257">IFERROR(IF(Q270+R244&lt;0,0,Q270+R244),0)</f>
        <v>0</v>
      </c>
      <c r="S270" s="535" cm="1">
        <f t="array" aca="1" ref="S270" ca="1">SUM(IF(ISNUMBER(T$268:T270),1,0))+IF($J270&gt;Capas_VN_C1,1,0)</f>
        <v>2</v>
      </c>
      <c r="T270" s="50" t="e">
        <f t="shared" ca="1" si="252"/>
        <v>#N/A</v>
      </c>
      <c r="U270" s="50">
        <f t="shared" ca="1" si="253"/>
        <v>2120.2674171167355</v>
      </c>
      <c r="V270" s="50">
        <f t="shared" ca="1" si="254"/>
        <v>6030.12</v>
      </c>
      <c r="W270" s="50" t="str">
        <f t="shared" ca="1" si="255"/>
        <v>$U$269:$U$270</v>
      </c>
      <c r="X270" s="214" t="str">
        <f t="shared" ca="1" si="256"/>
        <v>$V$269:$V$270</v>
      </c>
      <c r="Y270" s="50"/>
      <c r="Z270" s="50"/>
      <c r="AA270" s="214"/>
      <c r="AB270" s="51"/>
      <c r="AC270" s="51"/>
      <c r="AD270" s="51"/>
      <c r="AE270" s="48"/>
      <c r="AF270" s="48"/>
      <c r="AG270" s="50"/>
      <c r="AH270" s="50"/>
      <c r="AI270" s="51"/>
      <c r="AJ270" s="50"/>
      <c r="AK270" s="55"/>
      <c r="AL270" s="55"/>
      <c r="AM270" s="51"/>
      <c r="AN270" s="51"/>
      <c r="AO270" s="51"/>
      <c r="AP270" s="48"/>
      <c r="AQ270" s="48"/>
      <c r="AR270" s="50"/>
      <c r="AS270" s="50"/>
      <c r="AT270" s="51"/>
      <c r="AU270" s="50"/>
      <c r="AV270" s="55"/>
      <c r="AW270" s="55"/>
      <c r="AX270" s="50"/>
      <c r="AY270" s="51"/>
      <c r="AZ270" s="51"/>
      <c r="BA270" s="48"/>
      <c r="BB270" s="48"/>
      <c r="BC270" s="50"/>
      <c r="BD270" s="50"/>
      <c r="BP270" s="53"/>
      <c r="BQ270" s="52"/>
      <c r="BR270" s="54"/>
      <c r="BS270" s="50"/>
      <c r="BT270" s="55"/>
      <c r="BU270" s="55"/>
      <c r="BV270" s="51"/>
      <c r="BW270" s="51"/>
      <c r="BX270" s="51"/>
      <c r="BY270" s="48"/>
      <c r="BZ270" s="48"/>
      <c r="CA270" s="50"/>
      <c r="CB270" s="52"/>
      <c r="CC270" s="54"/>
      <c r="CD270" s="50"/>
      <c r="CE270" s="55"/>
      <c r="CF270" s="55"/>
      <c r="CG270" s="51"/>
      <c r="CH270" s="51"/>
      <c r="CI270" s="51"/>
      <c r="CJ270" s="48"/>
      <c r="CK270" s="48"/>
      <c r="CL270" s="50"/>
      <c r="CM270" s="52"/>
      <c r="CN270" s="54"/>
      <c r="CO270" s="50"/>
      <c r="CP270" s="55"/>
      <c r="CQ270" s="55"/>
      <c r="CR270" s="51"/>
      <c r="CS270" s="51"/>
      <c r="CT270" s="51"/>
      <c r="CU270" s="48"/>
      <c r="CV270" s="48"/>
      <c r="CW270" s="50"/>
      <c r="CX270" s="50"/>
      <c r="CY270" s="54"/>
      <c r="CZ270" s="50"/>
      <c r="DA270" s="55"/>
      <c r="DB270" s="55"/>
      <c r="DC270" s="50"/>
      <c r="DD270" s="51"/>
      <c r="DE270" s="51"/>
      <c r="DF270" s="48"/>
      <c r="DG270" s="48"/>
      <c r="DH270" s="50"/>
      <c r="DI270" s="52"/>
    </row>
    <row r="271" spans="10:113" x14ac:dyDescent="0.25">
      <c r="J271" s="15">
        <v>3</v>
      </c>
      <c r="K271" s="53">
        <v>21.457700650759218</v>
      </c>
      <c r="L271" s="47">
        <v>2556.3217531821374</v>
      </c>
      <c r="M271" s="54">
        <v>18.435151852000814</v>
      </c>
      <c r="N271" s="50">
        <v>2118.9708916106915</v>
      </c>
      <c r="O271" s="55">
        <f ca="1"/>
        <v>0</v>
      </c>
      <c r="P271" s="50">
        <f t="shared" ca="1" si="251"/>
        <v>2121.5254623995643</v>
      </c>
      <c r="Q271" s="534">
        <f ca="1">IF(O271=1,δ_0*(SLOPE(INDIRECT(VLOOKUP(S271,$S$268:$X$280,5,FALSE)),INDIRECT(VLOOKUP(S271,$S$268:$X$280,6,FALSE)))-SLOPE(INDIRECT(VLOOKUP(S271-1,$S$268:$X$280,5,FALSE)),INDIRECT(VLOOKUP(S271-1,$S$268:$X$280,6,FALSE)))),0)*86400*VLOOKUP($L$265,Aux!$AL$72:$AN$83,3,FALSE)</f>
        <v>0</v>
      </c>
      <c r="R271" s="534">
        <f t="shared" ca="1" si="257"/>
        <v>0</v>
      </c>
      <c r="S271" s="535" cm="1">
        <f t="array" aca="1" ref="S271" ca="1">SUM(IF(ISNUMBER(T$268:T271),1,0))+IF($J271&gt;Capas_VN_C1,1,0)</f>
        <v>2</v>
      </c>
      <c r="T271" s="50" t="e">
        <f t="shared" ca="1" si="252"/>
        <v>#N/A</v>
      </c>
      <c r="U271" s="50" t="e">
        <f t="shared" ca="1" si="253"/>
        <v>#N/A</v>
      </c>
      <c r="V271" s="50" t="e">
        <f t="shared" ca="1" si="254"/>
        <v>#N/A</v>
      </c>
      <c r="W271" s="50" t="str">
        <f t="shared" ca="1" si="255"/>
        <v>$U$269:$U$270</v>
      </c>
      <c r="X271" s="214" t="str">
        <f t="shared" ca="1" si="256"/>
        <v>$V$269:$V$270</v>
      </c>
      <c r="Y271" s="50"/>
      <c r="Z271" s="50"/>
      <c r="AA271" s="214"/>
      <c r="AB271" s="51"/>
      <c r="AC271" s="51"/>
      <c r="AD271" s="51"/>
      <c r="AE271" s="48"/>
      <c r="AF271" s="48"/>
      <c r="AG271" s="50"/>
      <c r="AH271" s="50"/>
      <c r="AI271" s="51"/>
      <c r="AJ271" s="50"/>
      <c r="AK271" s="55"/>
      <c r="AL271" s="55"/>
      <c r="AM271" s="51"/>
      <c r="AN271" s="51"/>
      <c r="AO271" s="51"/>
      <c r="AP271" s="48"/>
      <c r="AQ271" s="48"/>
      <c r="AR271" s="50"/>
      <c r="AS271" s="50"/>
      <c r="AT271" s="51"/>
      <c r="AU271" s="50"/>
      <c r="AV271" s="55"/>
      <c r="AW271" s="55"/>
      <c r="AX271" s="50"/>
      <c r="AY271" s="51"/>
      <c r="AZ271" s="51"/>
      <c r="BA271" s="48"/>
      <c r="BB271" s="48"/>
      <c r="BC271" s="50"/>
      <c r="BD271" s="50"/>
      <c r="BP271" s="53"/>
      <c r="BQ271" s="52"/>
      <c r="BR271" s="54"/>
      <c r="BS271" s="50"/>
      <c r="BT271" s="55"/>
      <c r="BU271" s="55"/>
      <c r="BV271" s="51"/>
      <c r="BW271" s="51"/>
      <c r="BX271" s="51"/>
      <c r="BY271" s="48"/>
      <c r="BZ271" s="48"/>
      <c r="CA271" s="50"/>
      <c r="CB271" s="52"/>
      <c r="CC271" s="54"/>
      <c r="CD271" s="50"/>
      <c r="CE271" s="55"/>
      <c r="CF271" s="55"/>
      <c r="CG271" s="51"/>
      <c r="CH271" s="51"/>
      <c r="CI271" s="51"/>
      <c r="CJ271" s="48"/>
      <c r="CK271" s="48"/>
      <c r="CL271" s="50"/>
      <c r="CM271" s="52"/>
      <c r="CN271" s="54"/>
      <c r="CO271" s="50"/>
      <c r="CP271" s="55"/>
      <c r="CQ271" s="55"/>
      <c r="CR271" s="51"/>
      <c r="CS271" s="51"/>
      <c r="CT271" s="51"/>
      <c r="CU271" s="48"/>
      <c r="CV271" s="48"/>
      <c r="CW271" s="50"/>
      <c r="CX271" s="50"/>
      <c r="CY271" s="54"/>
      <c r="CZ271" s="50"/>
      <c r="DA271" s="55"/>
      <c r="DB271" s="55"/>
      <c r="DC271" s="50"/>
      <c r="DD271" s="51"/>
      <c r="DE271" s="51"/>
      <c r="DF271" s="48"/>
      <c r="DG271" s="48"/>
      <c r="DH271" s="50"/>
      <c r="DI271" s="52"/>
    </row>
    <row r="272" spans="10:113" x14ac:dyDescent="0.25">
      <c r="J272" s="15">
        <v>4</v>
      </c>
      <c r="K272" s="53">
        <v>24.360809833694866</v>
      </c>
      <c r="L272" s="47">
        <v>3047.3713027493968</v>
      </c>
      <c r="M272" s="54">
        <v>18.444801587082083</v>
      </c>
      <c r="N272" s="50">
        <v>2120.2571272317668</v>
      </c>
      <c r="O272" s="55">
        <f ca="1"/>
        <v>0</v>
      </c>
      <c r="P272" s="50">
        <f t="shared" ca="1" si="251"/>
        <v>2120.2774016031071</v>
      </c>
      <c r="Q272" s="534">
        <f ca="1">IF(O272=1,δ_0*(SLOPE(INDIRECT(VLOOKUP(S272,$S$268:$X$280,5,FALSE)),INDIRECT(VLOOKUP(S272,$S$268:$X$280,6,FALSE)))-SLOPE(INDIRECT(VLOOKUP(S272-1,$S$268:$X$280,5,FALSE)),INDIRECT(VLOOKUP(S272-1,$S$268:$X$280,6,FALSE)))),0)*86400*VLOOKUP($L$265,Aux!$AL$72:$AN$83,3,FALSE)</f>
        <v>0</v>
      </c>
      <c r="R272" s="534">
        <f t="shared" ca="1" si="257"/>
        <v>0</v>
      </c>
      <c r="S272" s="535" cm="1">
        <f t="array" aca="1" ref="S272" ca="1">SUM(IF(ISNUMBER(T$268:T272),1,0))+IF($J272&gt;Capas_VN_C1,1,0)</f>
        <v>2</v>
      </c>
      <c r="T272" s="50" t="e">
        <f t="shared" ca="1" si="252"/>
        <v>#N/A</v>
      </c>
      <c r="U272" s="50" t="e">
        <f t="shared" ca="1" si="253"/>
        <v>#N/A</v>
      </c>
      <c r="V272" s="50" t="e">
        <f t="shared" ca="1" si="254"/>
        <v>#N/A</v>
      </c>
      <c r="W272" s="50" t="str">
        <f t="shared" ca="1" si="255"/>
        <v>$U$269:$U$270</v>
      </c>
      <c r="X272" s="214" t="str">
        <f t="shared" ca="1" si="256"/>
        <v>$V$269:$V$270</v>
      </c>
      <c r="Y272" s="50"/>
      <c r="Z272" s="50"/>
      <c r="AA272" s="214"/>
      <c r="AB272" s="51"/>
      <c r="AC272" s="51"/>
      <c r="AD272" s="51"/>
      <c r="AE272" s="48"/>
      <c r="AF272" s="48"/>
      <c r="AG272" s="50"/>
      <c r="AH272" s="50"/>
      <c r="AI272" s="51"/>
      <c r="AJ272" s="50"/>
      <c r="AK272" s="55"/>
      <c r="AL272" s="55"/>
      <c r="AM272" s="51"/>
      <c r="AN272" s="51"/>
      <c r="AO272" s="51"/>
      <c r="AP272" s="48"/>
      <c r="AQ272" s="48"/>
      <c r="AR272" s="50"/>
      <c r="AS272" s="50"/>
      <c r="AT272" s="51"/>
      <c r="AU272" s="50"/>
      <c r="AV272" s="55"/>
      <c r="AW272" s="55"/>
      <c r="AX272" s="50"/>
      <c r="AY272" s="51"/>
      <c r="AZ272" s="51"/>
      <c r="BA272" s="48"/>
      <c r="BB272" s="48"/>
      <c r="BC272" s="50"/>
      <c r="BD272" s="50"/>
      <c r="BP272" s="53"/>
      <c r="BQ272" s="52"/>
      <c r="BR272" s="54"/>
      <c r="BS272" s="50"/>
      <c r="BT272" s="55"/>
      <c r="BU272" s="55"/>
      <c r="BV272" s="51"/>
      <c r="BW272" s="51"/>
      <c r="BX272" s="51"/>
      <c r="BY272" s="48"/>
      <c r="BZ272" s="48"/>
      <c r="CA272" s="50"/>
      <c r="CB272" s="52"/>
      <c r="CC272" s="54"/>
      <c r="CD272" s="50"/>
      <c r="CE272" s="55"/>
      <c r="CF272" s="55"/>
      <c r="CG272" s="51"/>
      <c r="CH272" s="51"/>
      <c r="CI272" s="51"/>
      <c r="CJ272" s="48"/>
      <c r="CK272" s="48"/>
      <c r="CL272" s="50"/>
      <c r="CM272" s="52"/>
      <c r="CN272" s="54"/>
      <c r="CO272" s="50"/>
      <c r="CP272" s="55"/>
      <c r="CQ272" s="55"/>
      <c r="CR272" s="51"/>
      <c r="CS272" s="51"/>
      <c r="CT272" s="51"/>
      <c r="CU272" s="48"/>
      <c r="CV272" s="48"/>
      <c r="CW272" s="50"/>
      <c r="CX272" s="50"/>
      <c r="CY272" s="54"/>
      <c r="CZ272" s="50"/>
      <c r="DA272" s="55"/>
      <c r="DB272" s="55"/>
      <c r="DC272" s="50"/>
      <c r="DD272" s="51"/>
      <c r="DE272" s="51"/>
      <c r="DF272" s="48"/>
      <c r="DG272" s="48"/>
      <c r="DH272" s="50"/>
      <c r="DI272" s="52"/>
    </row>
    <row r="273" spans="10:113" x14ac:dyDescent="0.25">
      <c r="J273" s="15">
        <v>5</v>
      </c>
      <c r="K273" s="53">
        <v>24.420462762111352</v>
      </c>
      <c r="L273" s="47">
        <v>3058.2686570130345</v>
      </c>
      <c r="M273" s="54">
        <v>18.444878764216551</v>
      </c>
      <c r="N273" s="50">
        <v>2120.2674171167355</v>
      </c>
      <c r="O273" s="55">
        <f ca="1"/>
        <v>0</v>
      </c>
      <c r="P273" s="50">
        <f t="shared" ca="1" si="251"/>
        <v>2120.2674171167355</v>
      </c>
      <c r="Q273" s="534">
        <f ca="1">IF(O273=1,δ_0*(SLOPE(INDIRECT(VLOOKUP(S273,$S$268:$X$280,5,FALSE)),INDIRECT(VLOOKUP(S273,$S$268:$X$280,6,FALSE)))-SLOPE(INDIRECT(VLOOKUP(S273-1,$S$268:$X$280,5,FALSE)),INDIRECT(VLOOKUP(S273-1,$S$268:$X$280,6,FALSE)))),0)*86400*VLOOKUP($L$265,Aux!$AL$72:$AN$83,3,FALSE)</f>
        <v>0</v>
      </c>
      <c r="R273" s="534">
        <f t="shared" ca="1" si="257"/>
        <v>0</v>
      </c>
      <c r="S273" s="535" cm="1">
        <f t="array" aca="1" ref="S273" ca="1">SUM(IF(ISNUMBER(T$268:T273),1,0))+IF($J273&gt;Capas_VN_C1,1,0)</f>
        <v>3</v>
      </c>
      <c r="T273" s="50">
        <f t="shared" ca="1" si="252"/>
        <v>2120.2674171167355</v>
      </c>
      <c r="U273" s="50" t="e">
        <f t="shared" ca="1" si="253"/>
        <v>#N/A</v>
      </c>
      <c r="V273" s="50" t="e">
        <f t="shared" ca="1" si="254"/>
        <v>#N/A</v>
      </c>
      <c r="W273" s="50" t="str">
        <f t="shared" ca="1" si="255"/>
        <v>$U$270:$U$271</v>
      </c>
      <c r="X273" s="214" t="str">
        <f t="shared" ca="1" si="256"/>
        <v>$V$270:$V$271</v>
      </c>
      <c r="Y273" s="50"/>
      <c r="Z273" s="50"/>
      <c r="AA273" s="214"/>
      <c r="AB273" s="51"/>
      <c r="AC273" s="51"/>
      <c r="AD273" s="51"/>
      <c r="AE273" s="48"/>
      <c r="AF273" s="48"/>
      <c r="AG273" s="50"/>
      <c r="AH273" s="50"/>
      <c r="AI273" s="51"/>
      <c r="AJ273" s="50"/>
      <c r="AK273" s="55"/>
      <c r="AL273" s="55"/>
      <c r="AM273" s="51"/>
      <c r="AN273" s="51"/>
      <c r="AO273" s="51"/>
      <c r="AP273" s="48"/>
      <c r="AQ273" s="48"/>
      <c r="AR273" s="50"/>
      <c r="AS273" s="50"/>
      <c r="AT273" s="51"/>
      <c r="AU273" s="50"/>
      <c r="AV273" s="55"/>
      <c r="AW273" s="55"/>
      <c r="AX273" s="50"/>
      <c r="AY273" s="51"/>
      <c r="AZ273" s="51"/>
      <c r="BA273" s="48"/>
      <c r="BB273" s="48"/>
      <c r="BC273" s="50"/>
      <c r="BD273" s="50"/>
      <c r="BP273" s="53"/>
      <c r="BQ273" s="52"/>
      <c r="BR273" s="54"/>
      <c r="BS273" s="50"/>
      <c r="BT273" s="55"/>
      <c r="BU273" s="55"/>
      <c r="BV273" s="51"/>
      <c r="BW273" s="51"/>
      <c r="BX273" s="51"/>
      <c r="BY273" s="48"/>
      <c r="BZ273" s="48"/>
      <c r="CA273" s="50"/>
      <c r="CB273" s="52"/>
      <c r="CC273" s="54"/>
      <c r="CD273" s="50"/>
      <c r="CE273" s="55"/>
      <c r="CF273" s="55"/>
      <c r="CG273" s="51"/>
      <c r="CH273" s="51"/>
      <c r="CI273" s="51"/>
      <c r="CJ273" s="48"/>
      <c r="CK273" s="48"/>
      <c r="CL273" s="50"/>
      <c r="CM273" s="52"/>
      <c r="CN273" s="54"/>
      <c r="CO273" s="50"/>
      <c r="CP273" s="55"/>
      <c r="CQ273" s="55"/>
      <c r="CR273" s="51"/>
      <c r="CS273" s="51"/>
      <c r="CT273" s="51"/>
      <c r="CU273" s="48"/>
      <c r="CV273" s="48"/>
      <c r="CW273" s="50"/>
      <c r="CX273" s="50"/>
      <c r="CY273" s="54"/>
      <c r="CZ273" s="50"/>
      <c r="DA273" s="55"/>
      <c r="DB273" s="55"/>
      <c r="DC273" s="50"/>
      <c r="DD273" s="51"/>
      <c r="DE273" s="51"/>
      <c r="DF273" s="48"/>
      <c r="DG273" s="48"/>
      <c r="DH273" s="50"/>
      <c r="DI273" s="52"/>
    </row>
    <row r="274" spans="10:113" x14ac:dyDescent="0.25">
      <c r="J274" s="15">
        <v>6</v>
      </c>
      <c r="K274" s="53">
        <v>24.5</v>
      </c>
      <c r="L274" s="47">
        <v>3072.8513291546892</v>
      </c>
      <c r="M274" s="54" t="e">
        <v>#N/A</v>
      </c>
      <c r="N274" s="50" t="e">
        <v>#N/A</v>
      </c>
      <c r="O274" s="55" t="e">
        <f ca="1"/>
        <v>#N/A</v>
      </c>
      <c r="P274" s="50" t="e">
        <f t="shared" ca="1" si="251"/>
        <v>#N/A</v>
      </c>
      <c r="Q274" s="534" t="e">
        <f ca="1">IF(O274=1,δ_0*(SLOPE(INDIRECT(VLOOKUP(S274,$S$268:$X$280,5,FALSE)),INDIRECT(VLOOKUP(S274,$S$268:$X$280,6,FALSE)))-SLOPE(INDIRECT(VLOOKUP(S274-1,$S$268:$X$280,5,FALSE)),INDIRECT(VLOOKUP(S274-1,$S$268:$X$280,6,FALSE)))),0)*86400*VLOOKUP($L$265,Aux!$AL$72:$AN$83,3,FALSE)</f>
        <v>#N/A</v>
      </c>
      <c r="R274" s="534">
        <f t="shared" ca="1" si="257"/>
        <v>0</v>
      </c>
      <c r="S274" s="535" cm="1">
        <f t="array" aca="1" ref="S274" ca="1">SUM(IF(ISNUMBER(T$268:T274),1,0))+IF($J274&gt;Capas_VN_C1,1,0)</f>
        <v>4</v>
      </c>
      <c r="T274" s="50" t="e">
        <f t="shared" ca="1" si="252"/>
        <v>#N/A</v>
      </c>
      <c r="U274" s="50" t="e">
        <f t="shared" ca="1" si="253"/>
        <v>#N/A</v>
      </c>
      <c r="V274" s="50" t="e">
        <f t="shared" ca="1" si="254"/>
        <v>#N/A</v>
      </c>
      <c r="W274" s="50" t="str">
        <f t="shared" ca="1" si="255"/>
        <v>$U$271:$U$272</v>
      </c>
      <c r="X274" s="214" t="str">
        <f t="shared" ca="1" si="256"/>
        <v>$V$271:$V$272</v>
      </c>
      <c r="Y274" s="50"/>
      <c r="Z274" s="50"/>
      <c r="AA274" s="214"/>
      <c r="AB274" s="51"/>
      <c r="AC274" s="51"/>
      <c r="AD274" s="51"/>
      <c r="AE274" s="48"/>
      <c r="AF274" s="48"/>
      <c r="AG274" s="50"/>
      <c r="AH274" s="50"/>
      <c r="AI274" s="51"/>
      <c r="AJ274" s="50"/>
      <c r="AK274" s="55"/>
      <c r="AL274" s="55"/>
      <c r="AM274" s="51"/>
      <c r="AN274" s="51"/>
      <c r="AO274" s="51"/>
      <c r="AP274" s="48"/>
      <c r="AQ274" s="48"/>
      <c r="AR274" s="50"/>
      <c r="AS274" s="50"/>
      <c r="AT274" s="51"/>
      <c r="AU274" s="50"/>
      <c r="AV274" s="55"/>
      <c r="AW274" s="55"/>
      <c r="AX274" s="50"/>
      <c r="AY274" s="51"/>
      <c r="AZ274" s="51"/>
      <c r="BA274" s="48"/>
      <c r="BB274" s="48"/>
      <c r="BC274" s="50"/>
      <c r="BD274" s="50"/>
      <c r="BP274" s="53"/>
      <c r="BQ274" s="52"/>
      <c r="BR274" s="54"/>
      <c r="BS274" s="50"/>
      <c r="BT274" s="55"/>
      <c r="BU274" s="55"/>
      <c r="BV274" s="51"/>
      <c r="BW274" s="51"/>
      <c r="BX274" s="51"/>
      <c r="BY274" s="48"/>
      <c r="BZ274" s="48"/>
      <c r="CA274" s="50"/>
      <c r="CB274" s="52"/>
      <c r="CC274" s="54"/>
      <c r="CD274" s="50"/>
      <c r="CE274" s="55"/>
      <c r="CF274" s="55"/>
      <c r="CG274" s="51"/>
      <c r="CH274" s="51"/>
      <c r="CI274" s="51"/>
      <c r="CJ274" s="48"/>
      <c r="CK274" s="48"/>
      <c r="CL274" s="50"/>
      <c r="CM274" s="52"/>
      <c r="CN274" s="54"/>
      <c r="CO274" s="50"/>
      <c r="CP274" s="55"/>
      <c r="CQ274" s="55"/>
      <c r="CR274" s="51"/>
      <c r="CS274" s="51"/>
      <c r="CT274" s="51"/>
      <c r="CU274" s="48"/>
      <c r="CV274" s="48"/>
      <c r="CW274" s="50"/>
      <c r="CX274" s="50"/>
      <c r="CY274" s="54"/>
      <c r="CZ274" s="50"/>
      <c r="DA274" s="55"/>
      <c r="DB274" s="55"/>
      <c r="DC274" s="50"/>
      <c r="DD274" s="51"/>
      <c r="DE274" s="51"/>
      <c r="DF274" s="48"/>
      <c r="DG274" s="48"/>
      <c r="DH274" s="50"/>
      <c r="DI274" s="52"/>
    </row>
    <row r="275" spans="10:113" x14ac:dyDescent="0.25">
      <c r="J275" s="15">
        <v>7</v>
      </c>
      <c r="K275" s="53" t="e">
        <v>#N/A</v>
      </c>
      <c r="L275" s="47" t="e">
        <v>#N/A</v>
      </c>
      <c r="M275" s="54" t="e">
        <v>#N/A</v>
      </c>
      <c r="N275" s="50" t="e">
        <v>#N/A</v>
      </c>
      <c r="O275" s="55" t="e">
        <f ca="1"/>
        <v>#N/A</v>
      </c>
      <c r="P275" s="50" t="e">
        <f t="shared" ca="1" si="251"/>
        <v>#N/A</v>
      </c>
      <c r="Q275" s="534" t="e">
        <f ca="1">IF(O275=1,δ_0*(SLOPE(INDIRECT(VLOOKUP(S275,$S$268:$X$280,5,FALSE)),INDIRECT(VLOOKUP(S275,$S$268:$X$280,6,FALSE)))-SLOPE(INDIRECT(VLOOKUP(S275-1,$S$268:$X$280,5,FALSE)),INDIRECT(VLOOKUP(S275-1,$S$268:$X$280,6,FALSE)))),0)*86400*VLOOKUP($L$265,Aux!$AL$72:$AN$83,3,FALSE)</f>
        <v>#N/A</v>
      </c>
      <c r="R275" s="534">
        <f t="shared" ca="1" si="257"/>
        <v>0</v>
      </c>
      <c r="S275" s="535" cm="1">
        <f t="array" aca="1" ref="S275" ca="1">SUM(IF(ISNUMBER(T$268:T275),1,0))+IF($J275&gt;Capas_VN_C1,1,0)</f>
        <v>4</v>
      </c>
      <c r="T275" s="50" t="e">
        <f t="shared" ca="1" si="252"/>
        <v>#N/A</v>
      </c>
      <c r="U275" s="50" t="e">
        <f t="shared" ca="1" si="253"/>
        <v>#N/A</v>
      </c>
      <c r="V275" s="50" t="e">
        <f t="shared" ca="1" si="254"/>
        <v>#N/A</v>
      </c>
      <c r="W275" s="50" t="str">
        <f t="shared" ca="1" si="255"/>
        <v>$U$271:$U$272</v>
      </c>
      <c r="X275" s="214" t="str">
        <f t="shared" ca="1" si="256"/>
        <v>$V$271:$V$272</v>
      </c>
      <c r="Y275" s="50"/>
      <c r="Z275" s="50"/>
      <c r="AA275" s="214"/>
      <c r="AB275" s="51"/>
      <c r="AC275" s="51"/>
      <c r="AD275" s="51"/>
      <c r="AE275" s="48"/>
      <c r="AF275" s="48"/>
      <c r="AG275" s="50"/>
      <c r="AH275" s="50"/>
      <c r="AI275" s="51"/>
      <c r="AJ275" s="50"/>
      <c r="AK275" s="55"/>
      <c r="AL275" s="55"/>
      <c r="AM275" s="51"/>
      <c r="AN275" s="51"/>
      <c r="AO275" s="51"/>
      <c r="AP275" s="48"/>
      <c r="AQ275" s="48"/>
      <c r="AR275" s="50"/>
      <c r="AS275" s="50"/>
      <c r="AT275" s="51"/>
      <c r="AU275" s="50"/>
      <c r="AV275" s="55"/>
      <c r="AW275" s="55"/>
      <c r="AX275" s="50"/>
      <c r="AY275" s="51"/>
      <c r="AZ275" s="51"/>
      <c r="BA275" s="48"/>
      <c r="BB275" s="48"/>
      <c r="BC275" s="50"/>
      <c r="BD275" s="50"/>
      <c r="BP275" s="53"/>
      <c r="BQ275" s="52"/>
      <c r="BR275" s="54"/>
      <c r="BS275" s="50"/>
      <c r="BT275" s="55"/>
      <c r="BU275" s="55"/>
      <c r="BV275" s="51"/>
      <c r="BW275" s="51"/>
      <c r="BX275" s="51"/>
      <c r="BY275" s="48"/>
      <c r="BZ275" s="48"/>
      <c r="CA275" s="50"/>
      <c r="CB275" s="52"/>
      <c r="CC275" s="54"/>
      <c r="CD275" s="50"/>
      <c r="CE275" s="55"/>
      <c r="CF275" s="55"/>
      <c r="CG275" s="51"/>
      <c r="CH275" s="51"/>
      <c r="CI275" s="51"/>
      <c r="CJ275" s="48"/>
      <c r="CK275" s="48"/>
      <c r="CL275" s="50"/>
      <c r="CM275" s="52"/>
      <c r="CN275" s="54"/>
      <c r="CO275" s="50"/>
      <c r="CP275" s="55"/>
      <c r="CQ275" s="55"/>
      <c r="CR275" s="51"/>
      <c r="CS275" s="51"/>
      <c r="CT275" s="51"/>
      <c r="CU275" s="48"/>
      <c r="CV275" s="48"/>
      <c r="CW275" s="50"/>
      <c r="CX275" s="50"/>
      <c r="CY275" s="54"/>
      <c r="CZ275" s="50"/>
      <c r="DA275" s="55"/>
      <c r="DB275" s="55"/>
      <c r="DC275" s="50"/>
      <c r="DD275" s="51"/>
      <c r="DE275" s="51"/>
      <c r="DF275" s="48"/>
      <c r="DG275" s="48"/>
      <c r="DH275" s="50"/>
      <c r="DI275" s="52"/>
    </row>
    <row r="276" spans="10:113" x14ac:dyDescent="0.25">
      <c r="J276" s="15">
        <v>8</v>
      </c>
      <c r="K276" s="53" t="e">
        <v>#N/A</v>
      </c>
      <c r="L276" s="47" t="e">
        <v>#N/A</v>
      </c>
      <c r="M276" s="54" t="e">
        <v>#N/A</v>
      </c>
      <c r="N276" s="50" t="e">
        <v>#N/A</v>
      </c>
      <c r="O276" s="55" t="e">
        <f ca="1"/>
        <v>#N/A</v>
      </c>
      <c r="P276" s="50" t="e">
        <f t="shared" ca="1" si="251"/>
        <v>#N/A</v>
      </c>
      <c r="Q276" s="534" t="e">
        <f ca="1">IF(O276=1,δ_0*(SLOPE(INDIRECT(VLOOKUP(S276,$S$268:$X$280,5,FALSE)),INDIRECT(VLOOKUP(S276,$S$268:$X$280,6,FALSE)))-SLOPE(INDIRECT(VLOOKUP(S276-1,$S$268:$X$280,5,FALSE)),INDIRECT(VLOOKUP(S276-1,$S$268:$X$280,6,FALSE)))),0)*86400*VLOOKUP($L$265,Aux!$AL$72:$AN$83,3,FALSE)</f>
        <v>#N/A</v>
      </c>
      <c r="R276" s="534">
        <f t="shared" ca="1" si="257"/>
        <v>0</v>
      </c>
      <c r="S276" s="535" cm="1">
        <f t="array" aca="1" ref="S276" ca="1">SUM(IF(ISNUMBER(T$268:T276),1,0))+IF($J276&gt;Capas_VN_C1,1,0)</f>
        <v>4</v>
      </c>
      <c r="T276" s="50" t="e">
        <f t="shared" ca="1" si="252"/>
        <v>#N/A</v>
      </c>
      <c r="U276" s="50" t="e">
        <f t="shared" ca="1" si="253"/>
        <v>#N/A</v>
      </c>
      <c r="V276" s="50" t="e">
        <f t="shared" ca="1" si="254"/>
        <v>#N/A</v>
      </c>
      <c r="W276" s="50" t="str">
        <f t="shared" ca="1" si="255"/>
        <v>$U$271:$U$272</v>
      </c>
      <c r="X276" s="214" t="str">
        <f t="shared" ca="1" si="256"/>
        <v>$V$271:$V$272</v>
      </c>
      <c r="Y276" s="50"/>
      <c r="Z276" s="50"/>
      <c r="AA276" s="214"/>
      <c r="AB276" s="51"/>
      <c r="AC276" s="51"/>
      <c r="AD276" s="51"/>
      <c r="AE276" s="48"/>
      <c r="AF276" s="48"/>
      <c r="AG276" s="50"/>
      <c r="AH276" s="50"/>
      <c r="AI276" s="51"/>
      <c r="AJ276" s="50"/>
      <c r="AK276" s="55"/>
      <c r="AL276" s="55"/>
      <c r="AM276" s="51"/>
      <c r="AN276" s="51"/>
      <c r="AO276" s="51"/>
      <c r="AP276" s="48"/>
      <c r="AQ276" s="48"/>
      <c r="AR276" s="50"/>
      <c r="AS276" s="50"/>
      <c r="AT276" s="51"/>
      <c r="AU276" s="50"/>
      <c r="AV276" s="55"/>
      <c r="AW276" s="55"/>
      <c r="AX276" s="50"/>
      <c r="AY276" s="51"/>
      <c r="AZ276" s="51"/>
      <c r="BA276" s="48"/>
      <c r="BB276" s="48"/>
      <c r="BC276" s="50"/>
      <c r="BD276" s="50"/>
      <c r="BP276" s="53"/>
      <c r="BQ276" s="52"/>
      <c r="BR276" s="54"/>
      <c r="BS276" s="50"/>
      <c r="BT276" s="55"/>
      <c r="BU276" s="55"/>
      <c r="BV276" s="51"/>
      <c r="BW276" s="51"/>
      <c r="BX276" s="51"/>
      <c r="BY276" s="48"/>
      <c r="BZ276" s="48"/>
      <c r="CA276" s="50"/>
      <c r="CB276" s="52"/>
      <c r="CC276" s="54"/>
      <c r="CD276" s="50"/>
      <c r="CE276" s="55"/>
      <c r="CF276" s="55"/>
      <c r="CG276" s="51"/>
      <c r="CH276" s="51"/>
      <c r="CI276" s="51"/>
      <c r="CJ276" s="48"/>
      <c r="CK276" s="48"/>
      <c r="CL276" s="50"/>
      <c r="CM276" s="52"/>
      <c r="CN276" s="54"/>
      <c r="CO276" s="50"/>
      <c r="CP276" s="55"/>
      <c r="CQ276" s="55"/>
      <c r="CR276" s="51"/>
      <c r="CS276" s="51"/>
      <c r="CT276" s="51"/>
      <c r="CU276" s="48"/>
      <c r="CV276" s="48"/>
      <c r="CW276" s="50"/>
      <c r="CX276" s="50"/>
      <c r="CY276" s="54"/>
      <c r="CZ276" s="50"/>
      <c r="DA276" s="55"/>
      <c r="DB276" s="55"/>
      <c r="DC276" s="50"/>
      <c r="DD276" s="51"/>
      <c r="DE276" s="51"/>
      <c r="DF276" s="48"/>
      <c r="DG276" s="48"/>
      <c r="DH276" s="50"/>
      <c r="DI276" s="52"/>
    </row>
    <row r="277" spans="10:113" x14ac:dyDescent="0.25">
      <c r="J277" s="15">
        <v>9</v>
      </c>
      <c r="K277" s="53" t="e">
        <v>#N/A</v>
      </c>
      <c r="L277" s="47" t="e">
        <v>#N/A</v>
      </c>
      <c r="M277" s="54" t="e">
        <v>#N/A</v>
      </c>
      <c r="N277" s="50" t="e">
        <v>#N/A</v>
      </c>
      <c r="O277" s="55" t="e">
        <f ca="1"/>
        <v>#N/A</v>
      </c>
      <c r="P277" s="50" t="e">
        <f t="shared" ca="1" si="251"/>
        <v>#N/A</v>
      </c>
      <c r="Q277" s="534" t="e">
        <f ca="1">IF(O277=1,δ_0*(SLOPE(INDIRECT(VLOOKUP(S277,$S$268:$X$280,5,FALSE)),INDIRECT(VLOOKUP(S277,$S$268:$X$280,6,FALSE)))-SLOPE(INDIRECT(VLOOKUP(S277-1,$S$268:$X$280,5,FALSE)),INDIRECT(VLOOKUP(S277-1,$S$268:$X$280,6,FALSE)))),0)*86400*VLOOKUP($L$265,Aux!$AL$72:$AN$83,3,FALSE)</f>
        <v>#N/A</v>
      </c>
      <c r="R277" s="534">
        <f t="shared" ca="1" si="257"/>
        <v>0</v>
      </c>
      <c r="S277" s="535" cm="1">
        <f t="array" aca="1" ref="S277" ca="1">SUM(IF(ISNUMBER(T$268:T277),1,0))+IF($J277&gt;Capas_VN_C1,1,0)</f>
        <v>4</v>
      </c>
      <c r="T277" s="50" t="e">
        <f t="shared" ca="1" si="252"/>
        <v>#N/A</v>
      </c>
      <c r="U277" s="50" t="e">
        <f t="shared" ca="1" si="253"/>
        <v>#N/A</v>
      </c>
      <c r="V277" s="50" t="e">
        <f t="shared" ca="1" si="254"/>
        <v>#N/A</v>
      </c>
      <c r="W277" s="50" t="str">
        <f t="shared" ca="1" si="255"/>
        <v>$U$271:$U$272</v>
      </c>
      <c r="X277" s="214" t="str">
        <f t="shared" ca="1" si="256"/>
        <v>$V$271:$V$272</v>
      </c>
      <c r="Y277" s="50"/>
      <c r="Z277" s="50"/>
      <c r="AA277" s="214"/>
      <c r="AB277" s="51"/>
      <c r="AC277" s="51"/>
      <c r="AD277" s="51"/>
      <c r="AE277" s="48"/>
      <c r="AF277" s="48"/>
      <c r="AG277" s="50"/>
      <c r="AH277" s="50"/>
      <c r="AI277" s="51"/>
      <c r="AJ277" s="50"/>
      <c r="AK277" s="55"/>
      <c r="AL277" s="55"/>
      <c r="AM277" s="51"/>
      <c r="AN277" s="51"/>
      <c r="AO277" s="51"/>
      <c r="AP277" s="48"/>
      <c r="AQ277" s="48"/>
      <c r="AR277" s="50"/>
      <c r="AS277" s="50"/>
      <c r="AT277" s="51"/>
      <c r="AU277" s="50"/>
      <c r="AV277" s="55"/>
      <c r="AW277" s="55"/>
      <c r="AX277" s="50"/>
      <c r="AY277" s="51"/>
      <c r="AZ277" s="51"/>
      <c r="BA277" s="48"/>
      <c r="BB277" s="48"/>
      <c r="BC277" s="50"/>
      <c r="BD277" s="50"/>
      <c r="BP277" s="53"/>
      <c r="BQ277" s="52"/>
      <c r="BR277" s="54"/>
      <c r="BS277" s="50"/>
      <c r="BT277" s="55"/>
      <c r="BU277" s="55"/>
      <c r="BV277" s="51"/>
      <c r="BW277" s="51"/>
      <c r="BX277" s="51"/>
      <c r="BY277" s="48"/>
      <c r="BZ277" s="48"/>
      <c r="CA277" s="50"/>
      <c r="CB277" s="52"/>
      <c r="CC277" s="54"/>
      <c r="CD277" s="50"/>
      <c r="CE277" s="55"/>
      <c r="CF277" s="55"/>
      <c r="CG277" s="51"/>
      <c r="CH277" s="51"/>
      <c r="CI277" s="51"/>
      <c r="CJ277" s="48"/>
      <c r="CK277" s="48"/>
      <c r="CL277" s="50"/>
      <c r="CM277" s="52"/>
      <c r="CN277" s="54"/>
      <c r="CO277" s="50"/>
      <c r="CP277" s="55"/>
      <c r="CQ277" s="55"/>
      <c r="CR277" s="51"/>
      <c r="CS277" s="51"/>
      <c r="CT277" s="51"/>
      <c r="CU277" s="48"/>
      <c r="CV277" s="48"/>
      <c r="CW277" s="50"/>
      <c r="CX277" s="50"/>
      <c r="CY277" s="54"/>
      <c r="CZ277" s="50"/>
      <c r="DA277" s="55"/>
      <c r="DB277" s="55"/>
      <c r="DC277" s="50"/>
      <c r="DD277" s="51"/>
      <c r="DE277" s="51"/>
      <c r="DF277" s="48"/>
      <c r="DG277" s="48"/>
      <c r="DH277" s="50"/>
      <c r="DI277" s="52"/>
    </row>
    <row r="278" spans="10:113" x14ac:dyDescent="0.25">
      <c r="J278" s="15">
        <v>10</v>
      </c>
      <c r="K278" s="53" t="e">
        <v>#N/A</v>
      </c>
      <c r="L278" s="47" t="e">
        <v>#N/A</v>
      </c>
      <c r="M278" s="54" t="e">
        <v>#N/A</v>
      </c>
      <c r="N278" s="50" t="e">
        <v>#N/A</v>
      </c>
      <c r="O278" s="55" t="e">
        <f ca="1"/>
        <v>#N/A</v>
      </c>
      <c r="P278" s="50" t="e">
        <f t="shared" ca="1" si="251"/>
        <v>#N/A</v>
      </c>
      <c r="Q278" s="534" t="e">
        <f ca="1">IF(O278=1,δ_0*(SLOPE(INDIRECT(VLOOKUP(S278,$S$268:$X$280,5,FALSE)),INDIRECT(VLOOKUP(S278,$S$268:$X$280,6,FALSE)))-SLOPE(INDIRECT(VLOOKUP(S278-1,$S$268:$X$280,5,FALSE)),INDIRECT(VLOOKUP(S278-1,$S$268:$X$280,6,FALSE)))),0)*86400*VLOOKUP($L$265,Aux!$AL$72:$AN$83,3,FALSE)</f>
        <v>#N/A</v>
      </c>
      <c r="R278" s="534">
        <f t="shared" ca="1" si="257"/>
        <v>0</v>
      </c>
      <c r="S278" s="535" cm="1">
        <f t="array" aca="1" ref="S278" ca="1">SUM(IF(ISNUMBER(T$268:T278),1,0))+IF($J278&gt;Capas_VN_C1,1,0)</f>
        <v>4</v>
      </c>
      <c r="T278" s="50" t="e">
        <f t="shared" ca="1" si="252"/>
        <v>#N/A</v>
      </c>
      <c r="U278" s="50" t="e">
        <f t="shared" ca="1" si="253"/>
        <v>#N/A</v>
      </c>
      <c r="V278" s="50" t="e">
        <f t="shared" ca="1" si="254"/>
        <v>#N/A</v>
      </c>
      <c r="W278" s="50" t="str">
        <f t="shared" ca="1" si="255"/>
        <v>$U$271:$U$272</v>
      </c>
      <c r="X278" s="214" t="str">
        <f t="shared" ca="1" si="256"/>
        <v>$V$271:$V$272</v>
      </c>
      <c r="Y278" s="50"/>
      <c r="Z278" s="50"/>
      <c r="AA278" s="214"/>
      <c r="AB278" s="51"/>
      <c r="AC278" s="51"/>
      <c r="AD278" s="51"/>
      <c r="AE278" s="48"/>
      <c r="AF278" s="48"/>
      <c r="AG278" s="50"/>
      <c r="AH278" s="50"/>
      <c r="AI278" s="51"/>
      <c r="AJ278" s="50"/>
      <c r="AK278" s="55"/>
      <c r="AL278" s="55"/>
      <c r="AM278" s="51"/>
      <c r="AN278" s="51"/>
      <c r="AO278" s="51"/>
      <c r="AP278" s="48"/>
      <c r="AQ278" s="48"/>
      <c r="AR278" s="50"/>
      <c r="AS278" s="50"/>
      <c r="AT278" s="51"/>
      <c r="AU278" s="50"/>
      <c r="AV278" s="55"/>
      <c r="AW278" s="55"/>
      <c r="AX278" s="50"/>
      <c r="AY278" s="51"/>
      <c r="AZ278" s="51"/>
      <c r="BA278" s="48"/>
      <c r="BB278" s="48"/>
      <c r="BC278" s="50"/>
      <c r="BD278" s="50"/>
      <c r="BP278" s="53"/>
      <c r="BQ278" s="52"/>
      <c r="BR278" s="54"/>
      <c r="BS278" s="50"/>
      <c r="BT278" s="55"/>
      <c r="BU278" s="55"/>
      <c r="BV278" s="51"/>
      <c r="BW278" s="51"/>
      <c r="BX278" s="51"/>
      <c r="BY278" s="48"/>
      <c r="BZ278" s="48"/>
      <c r="CA278" s="50"/>
      <c r="CB278" s="52"/>
      <c r="CC278" s="54"/>
      <c r="CD278" s="50"/>
      <c r="CE278" s="55"/>
      <c r="CF278" s="55"/>
      <c r="CG278" s="51"/>
      <c r="CH278" s="51"/>
      <c r="CI278" s="51"/>
      <c r="CJ278" s="48"/>
      <c r="CK278" s="48"/>
      <c r="CL278" s="50"/>
      <c r="CM278" s="52"/>
      <c r="CN278" s="54"/>
      <c r="CO278" s="50"/>
      <c r="CP278" s="55"/>
      <c r="CQ278" s="55"/>
      <c r="CR278" s="51"/>
      <c r="CS278" s="51"/>
      <c r="CT278" s="51"/>
      <c r="CU278" s="48"/>
      <c r="CV278" s="48"/>
      <c r="CW278" s="50"/>
      <c r="CX278" s="50"/>
      <c r="CY278" s="54"/>
      <c r="CZ278" s="50"/>
      <c r="DA278" s="55"/>
      <c r="DB278" s="55"/>
      <c r="DC278" s="50"/>
      <c r="DD278" s="51"/>
      <c r="DE278" s="51"/>
      <c r="DF278" s="48"/>
      <c r="DG278" s="48"/>
      <c r="DH278" s="50"/>
      <c r="DI278" s="52"/>
    </row>
    <row r="279" spans="10:113" x14ac:dyDescent="0.25">
      <c r="J279" s="15">
        <v>11</v>
      </c>
      <c r="K279" s="53" t="e">
        <v>#N/A</v>
      </c>
      <c r="L279" s="47" t="e">
        <v>#N/A</v>
      </c>
      <c r="M279" s="54" t="e">
        <v>#N/A</v>
      </c>
      <c r="N279" s="50" t="e">
        <v>#N/A</v>
      </c>
      <c r="O279" s="55" t="e">
        <f ca="1"/>
        <v>#N/A</v>
      </c>
      <c r="P279" s="50" t="e">
        <f t="shared" ca="1" si="251"/>
        <v>#N/A</v>
      </c>
      <c r="Q279" s="534" t="e">
        <f ca="1">IF(O279=1,δ_0*(SLOPE(INDIRECT(VLOOKUP(S279,$S$268:$X$280,5,FALSE)),INDIRECT(VLOOKUP(S279,$S$268:$X$280,6,FALSE)))-SLOPE(INDIRECT(VLOOKUP(S279-1,$S$268:$X$280,5,FALSE)),INDIRECT(VLOOKUP(S279-1,$S$268:$X$280,6,FALSE)))),0)*86400*VLOOKUP($L$265,Aux!$AL$72:$AN$83,3,FALSE)</f>
        <v>#N/A</v>
      </c>
      <c r="R279" s="534">
        <f t="shared" ca="1" si="257"/>
        <v>0</v>
      </c>
      <c r="S279" s="535" cm="1">
        <f t="array" aca="1" ref="S279" ca="1">SUM(IF(ISNUMBER(T$268:T279),1,0))+IF($J279&gt;Capas_VN_C1,1,0)</f>
        <v>4</v>
      </c>
      <c r="T279" s="50" t="e">
        <f t="shared" ca="1" si="252"/>
        <v>#N/A</v>
      </c>
      <c r="U279" s="50" t="e">
        <f t="shared" ca="1" si="253"/>
        <v>#N/A</v>
      </c>
      <c r="V279" s="50" t="e">
        <f t="shared" ca="1" si="254"/>
        <v>#N/A</v>
      </c>
      <c r="W279" s="50" t="str">
        <f t="shared" ca="1" si="255"/>
        <v>$U$271:$U$272</v>
      </c>
      <c r="X279" s="214" t="str">
        <f t="shared" ca="1" si="256"/>
        <v>$V$271:$V$272</v>
      </c>
      <c r="Y279" s="50"/>
      <c r="Z279" s="50"/>
      <c r="AA279" s="214"/>
      <c r="AB279" s="51"/>
      <c r="AC279" s="51"/>
      <c r="AD279" s="51"/>
      <c r="AE279" s="48"/>
      <c r="AF279" s="48"/>
      <c r="AG279" s="50"/>
      <c r="AH279" s="50"/>
      <c r="AI279" s="51"/>
      <c r="AJ279" s="50"/>
      <c r="AK279" s="55"/>
      <c r="AL279" s="55"/>
      <c r="AM279" s="51"/>
      <c r="AN279" s="51"/>
      <c r="AO279" s="51"/>
      <c r="AP279" s="48"/>
      <c r="AQ279" s="48"/>
      <c r="AR279" s="50"/>
      <c r="AS279" s="50"/>
      <c r="AT279" s="51"/>
      <c r="AU279" s="50"/>
      <c r="AV279" s="55"/>
      <c r="AW279" s="55"/>
      <c r="AX279" s="50"/>
      <c r="AY279" s="51"/>
      <c r="AZ279" s="51"/>
      <c r="BA279" s="48"/>
      <c r="BB279" s="48"/>
      <c r="BC279" s="50"/>
      <c r="BD279" s="50"/>
      <c r="BP279" s="53"/>
      <c r="BQ279" s="52"/>
      <c r="BR279" s="54"/>
      <c r="BS279" s="50"/>
      <c r="BT279" s="55"/>
      <c r="BU279" s="55"/>
      <c r="BV279" s="51"/>
      <c r="BW279" s="51"/>
      <c r="BX279" s="51"/>
      <c r="BY279" s="48"/>
      <c r="BZ279" s="48"/>
      <c r="CA279" s="50"/>
      <c r="CB279" s="52"/>
      <c r="CC279" s="54"/>
      <c r="CD279" s="50"/>
      <c r="CE279" s="55"/>
      <c r="CF279" s="55"/>
      <c r="CG279" s="51"/>
      <c r="CH279" s="51"/>
      <c r="CI279" s="51"/>
      <c r="CJ279" s="48"/>
      <c r="CK279" s="48"/>
      <c r="CL279" s="50"/>
      <c r="CM279" s="52"/>
      <c r="CN279" s="54"/>
      <c r="CO279" s="50"/>
      <c r="CP279" s="55"/>
      <c r="CQ279" s="55"/>
      <c r="CR279" s="51"/>
      <c r="CS279" s="51"/>
      <c r="CT279" s="51"/>
      <c r="CU279" s="48"/>
      <c r="CV279" s="48"/>
      <c r="CW279" s="50"/>
      <c r="CX279" s="50"/>
      <c r="CY279" s="54"/>
      <c r="CZ279" s="50"/>
      <c r="DA279" s="55"/>
      <c r="DB279" s="55"/>
      <c r="DC279" s="50"/>
      <c r="DD279" s="51"/>
      <c r="DE279" s="51"/>
      <c r="DF279" s="48"/>
      <c r="DG279" s="48"/>
      <c r="DH279" s="50"/>
      <c r="DI279" s="52"/>
    </row>
    <row r="280" spans="10:113" x14ac:dyDescent="0.25">
      <c r="J280" s="517">
        <v>12</v>
      </c>
      <c r="K280" s="53" t="e">
        <v>#N/A</v>
      </c>
      <c r="L280" s="47" t="e">
        <v>#N/A</v>
      </c>
      <c r="M280" s="54" t="e">
        <v>#N/A</v>
      </c>
      <c r="N280" s="50" t="e">
        <v>#N/A</v>
      </c>
      <c r="O280" s="55" t="e">
        <f ca="1"/>
        <v>#N/A</v>
      </c>
      <c r="P280" s="50" t="e">
        <f t="shared" ca="1" si="251"/>
        <v>#N/A</v>
      </c>
      <c r="Q280" s="534" t="e">
        <f ca="1">IF(O280=1,δ_0*(SLOPE(INDIRECT(VLOOKUP(S280,$S$268:$X$280,5,FALSE)),INDIRECT(VLOOKUP(S280,$S$268:$X$280,6,FALSE)))-SLOPE(INDIRECT(VLOOKUP(S280-1,$S$268:$X$280,5,FALSE)),INDIRECT(VLOOKUP(S280-1,$S$268:$X$280,6,FALSE)))),0)*86400*VLOOKUP($L$265,Aux!$AL$72:$AN$83,3,FALSE)</f>
        <v>#N/A</v>
      </c>
      <c r="R280" s="534">
        <f t="shared" ca="1" si="257"/>
        <v>0</v>
      </c>
      <c r="S280" s="535" cm="1">
        <f t="array" aca="1" ref="S280" ca="1">SUM(IF(ISNUMBER(T$268:T280),1,0))+IF($J280&gt;Capas_VN_C1,1,0)</f>
        <v>4</v>
      </c>
      <c r="T280" s="50" t="e">
        <f t="shared" ca="1" si="252"/>
        <v>#N/A</v>
      </c>
      <c r="U280" s="50" t="e">
        <f t="shared" ca="1" si="253"/>
        <v>#N/A</v>
      </c>
      <c r="V280" s="50" t="e">
        <f t="shared" ca="1" si="254"/>
        <v>#N/A</v>
      </c>
      <c r="W280" s="50" t="str">
        <f t="shared" ca="1" si="255"/>
        <v>$U$271:$U$272</v>
      </c>
      <c r="X280" s="214" t="str">
        <f t="shared" ca="1" si="256"/>
        <v>$V$271:$V$272</v>
      </c>
      <c r="Y280" s="50"/>
      <c r="Z280" s="50"/>
      <c r="AA280" s="214"/>
      <c r="AB280" s="51"/>
      <c r="AC280" s="51"/>
      <c r="AD280" s="51"/>
      <c r="AE280" s="48"/>
      <c r="AF280" s="48"/>
      <c r="AG280" s="50"/>
      <c r="AH280" s="50"/>
      <c r="AI280" s="51"/>
      <c r="AJ280" s="50"/>
      <c r="AK280" s="55"/>
      <c r="AL280" s="55"/>
      <c r="AM280" s="51"/>
      <c r="AN280" s="51"/>
      <c r="AO280" s="51"/>
      <c r="AP280" s="48"/>
      <c r="AQ280" s="48"/>
      <c r="AR280" s="50"/>
      <c r="AS280" s="50"/>
      <c r="AT280" s="51"/>
      <c r="AU280" s="50"/>
      <c r="AV280" s="55"/>
      <c r="AW280" s="55"/>
      <c r="AX280" s="50"/>
      <c r="AY280" s="51"/>
      <c r="AZ280" s="51"/>
      <c r="BA280" s="48"/>
      <c r="BB280" s="48"/>
      <c r="BC280" s="50"/>
      <c r="BD280" s="50"/>
      <c r="BP280" s="53"/>
      <c r="BQ280" s="52"/>
      <c r="BR280" s="54"/>
      <c r="BS280" s="50"/>
      <c r="BT280" s="55"/>
      <c r="BU280" s="55"/>
      <c r="BV280" s="51"/>
      <c r="BW280" s="51"/>
      <c r="BX280" s="51"/>
      <c r="BY280" s="48"/>
      <c r="BZ280" s="48"/>
      <c r="CA280" s="50"/>
      <c r="CB280" s="52"/>
      <c r="CC280" s="54"/>
      <c r="CD280" s="50"/>
      <c r="CE280" s="55"/>
      <c r="CF280" s="55"/>
      <c r="CG280" s="51"/>
      <c r="CH280" s="51"/>
      <c r="CI280" s="51"/>
      <c r="CJ280" s="48"/>
      <c r="CK280" s="48"/>
      <c r="CL280" s="50"/>
      <c r="CM280" s="52"/>
      <c r="CN280" s="54"/>
      <c r="CO280" s="50"/>
      <c r="CP280" s="55"/>
      <c r="CQ280" s="55"/>
      <c r="CR280" s="51"/>
      <c r="CS280" s="51"/>
      <c r="CT280" s="51"/>
      <c r="CU280" s="48"/>
      <c r="CV280" s="48"/>
      <c r="CW280" s="50"/>
      <c r="CX280" s="50"/>
      <c r="CY280" s="54"/>
      <c r="CZ280" s="50"/>
      <c r="DA280" s="55"/>
      <c r="DB280" s="55"/>
      <c r="DC280" s="50"/>
      <c r="DD280" s="51"/>
      <c r="DE280" s="51"/>
      <c r="DF280" s="48"/>
      <c r="DG280" s="48"/>
      <c r="DH280" s="50"/>
      <c r="DI280" s="52"/>
    </row>
    <row r="281" spans="10:113" ht="15.75" thickBot="1" x14ac:dyDescent="0.3">
      <c r="J281" s="517"/>
      <c r="K281" s="53"/>
      <c r="L281" s="52"/>
      <c r="M281" s="62"/>
      <c r="N281" s="65"/>
      <c r="O281" s="65"/>
      <c r="P281" s="58"/>
      <c r="Q281" s="65"/>
      <c r="R281" s="65"/>
      <c r="S281" s="62"/>
      <c r="T281" s="65"/>
      <c r="U281" s="65"/>
      <c r="V281" s="65"/>
      <c r="W281" s="65"/>
      <c r="X281" s="61"/>
      <c r="Y281" s="65"/>
      <c r="Z281" s="65"/>
      <c r="AA281" s="61"/>
      <c r="AB281" s="51"/>
      <c r="AC281" s="51"/>
      <c r="AD281" s="51"/>
      <c r="AE281" s="48"/>
      <c r="AF281" s="48"/>
      <c r="AG281" s="50"/>
      <c r="AH281" s="50"/>
      <c r="AI281" s="51"/>
      <c r="AJ281" s="50"/>
      <c r="AK281" s="55"/>
      <c r="AL281" s="55"/>
      <c r="AM281" s="51"/>
      <c r="AN281" s="51"/>
      <c r="AO281" s="51"/>
      <c r="AP281" s="48"/>
      <c r="AQ281" s="48"/>
      <c r="AR281" s="50"/>
      <c r="AS281" s="50"/>
      <c r="AT281" s="51"/>
      <c r="AU281" s="50"/>
      <c r="AV281" s="55"/>
      <c r="AW281" s="55"/>
      <c r="AX281" s="50"/>
      <c r="AY281" s="51"/>
      <c r="AZ281" s="51"/>
      <c r="BA281" s="48"/>
      <c r="BB281" s="48"/>
      <c r="BC281" s="50"/>
      <c r="BD281" s="50"/>
      <c r="BP281" s="53"/>
      <c r="BQ281" s="52"/>
      <c r="BR281" s="54"/>
      <c r="BS281" s="50"/>
      <c r="BT281" s="55"/>
      <c r="BU281" s="55"/>
      <c r="BV281" s="51"/>
      <c r="BW281" s="51"/>
      <c r="BX281" s="51"/>
      <c r="BY281" s="48"/>
      <c r="BZ281" s="48"/>
      <c r="CA281" s="50"/>
      <c r="CB281" s="52"/>
      <c r="CC281" s="54"/>
      <c r="CD281" s="50"/>
      <c r="CE281" s="55"/>
      <c r="CF281" s="55"/>
      <c r="CG281" s="51"/>
      <c r="CH281" s="51"/>
      <c r="CI281" s="51"/>
      <c r="CJ281" s="48"/>
      <c r="CK281" s="48"/>
      <c r="CL281" s="50"/>
      <c r="CM281" s="52"/>
      <c r="CN281" s="54"/>
      <c r="CO281" s="50"/>
      <c r="CP281" s="55"/>
      <c r="CQ281" s="55"/>
      <c r="CR281" s="51"/>
      <c r="CS281" s="51"/>
      <c r="CT281" s="51"/>
      <c r="CU281" s="48"/>
      <c r="CV281" s="48"/>
      <c r="CW281" s="50"/>
      <c r="CX281" s="50"/>
      <c r="CY281" s="54"/>
      <c r="CZ281" s="50"/>
      <c r="DA281" s="55"/>
      <c r="DB281" s="55"/>
      <c r="DC281" s="50"/>
      <c r="DD281" s="51"/>
      <c r="DE281" s="51"/>
      <c r="DF281" s="48"/>
      <c r="DG281" s="48"/>
      <c r="DH281" s="50"/>
      <c r="DI281" s="52"/>
    </row>
    <row r="282" spans="10:113" ht="15.75" thickBot="1" x14ac:dyDescent="0.3">
      <c r="K282" s="68" t="s">
        <v>145</v>
      </c>
      <c r="L282" s="505">
        <v>19</v>
      </c>
      <c r="M282" s="506" t="s">
        <v>275</v>
      </c>
      <c r="N282" s="507">
        <v>24.5</v>
      </c>
      <c r="O282" s="36" t="s">
        <v>735</v>
      </c>
      <c r="P282" s="513">
        <v>517.07700955721111</v>
      </c>
      <c r="Y282" s="50"/>
      <c r="Z282" s="50"/>
      <c r="AA282" s="55"/>
      <c r="AI282" s="50"/>
      <c r="AK282" s="50"/>
      <c r="AL282" s="55"/>
      <c r="AT282" s="50"/>
      <c r="BP282" s="62"/>
      <c r="BQ282" s="63"/>
      <c r="BR282" s="62"/>
      <c r="BS282" s="65"/>
      <c r="BT282" s="64"/>
      <c r="BU282" s="58"/>
      <c r="BV282" s="58"/>
      <c r="BW282" s="58"/>
      <c r="BX282" s="58"/>
      <c r="BY282" s="58"/>
      <c r="BZ282" s="58"/>
      <c r="CA282" s="58"/>
      <c r="CB282" s="61"/>
      <c r="CC282" s="62"/>
      <c r="CD282" s="65"/>
      <c r="CE282" s="64"/>
      <c r="CF282" s="58"/>
      <c r="CG282" s="58"/>
      <c r="CH282" s="58"/>
      <c r="CI282" s="58"/>
      <c r="CJ282" s="58"/>
      <c r="CK282" s="58"/>
      <c r="CL282" s="58"/>
      <c r="CM282" s="61"/>
      <c r="CN282" s="62"/>
      <c r="CO282" s="58"/>
      <c r="CP282" s="65"/>
      <c r="CQ282" s="64"/>
      <c r="CR282" s="58"/>
      <c r="CS282" s="58"/>
      <c r="CT282" s="58"/>
      <c r="CU282" s="58"/>
      <c r="CV282" s="58"/>
      <c r="CW282" s="58"/>
      <c r="CX282" s="58"/>
      <c r="CY282" s="62"/>
      <c r="CZ282" s="58"/>
      <c r="DA282" s="58"/>
      <c r="DB282" s="58"/>
      <c r="DC282" s="58"/>
      <c r="DD282" s="58"/>
      <c r="DE282" s="58"/>
      <c r="DF282" s="58"/>
      <c r="DG282" s="58"/>
      <c r="DH282" s="58"/>
      <c r="DI282" s="61"/>
    </row>
    <row r="283" spans="10:113" x14ac:dyDescent="0.25">
      <c r="K283" s="75" t="s">
        <v>144</v>
      </c>
      <c r="L283" s="22">
        <v>0.73</v>
      </c>
      <c r="M283" s="80" t="s">
        <v>771</v>
      </c>
      <c r="N283" s="508">
        <v>0.69</v>
      </c>
      <c r="O283" s="68" t="s">
        <v>780</v>
      </c>
      <c r="P283" s="507" t="b">
        <v>0</v>
      </c>
      <c r="U283" s="22"/>
      <c r="V283" s="22"/>
      <c r="Y283" s="22"/>
      <c r="Z283" s="28"/>
      <c r="AA283" s="48"/>
      <c r="AI283" s="22"/>
      <c r="AJ283" s="28"/>
      <c r="AK283" s="48"/>
      <c r="AT283" s="22"/>
      <c r="AU283" s="28"/>
      <c r="AV283" s="48"/>
      <c r="BP283" s="68" t="s">
        <v>144</v>
      </c>
      <c r="BQ283" s="73" t="e">
        <f>IF([0]!Casilla2,φe_H1_C1,VLOOKUP(Seccion1!provincia_C1,datos_humedad_julio[],$L$57+1,FALSE))</f>
        <v>#NAME?</v>
      </c>
      <c r="BR283" s="111"/>
      <c r="BS283" s="77" t="s">
        <v>160</v>
      </c>
      <c r="BT283" s="70"/>
      <c r="BU283" s="38"/>
      <c r="BV283" s="38"/>
      <c r="BW283" s="38"/>
      <c r="BX283" s="38"/>
      <c r="BY283" s="71"/>
      <c r="BZ283" s="71"/>
      <c r="CA283" s="38"/>
      <c r="CB283" s="72"/>
      <c r="CC283" s="111"/>
      <c r="CD283" s="77" t="s">
        <v>160</v>
      </c>
      <c r="CE283" s="67"/>
      <c r="CF283" s="38"/>
      <c r="CG283" s="38"/>
      <c r="CH283" s="38"/>
      <c r="CI283" s="38"/>
      <c r="CJ283" s="38"/>
      <c r="CK283" s="38"/>
      <c r="CL283" s="38"/>
      <c r="CM283" s="72"/>
      <c r="CN283" s="111"/>
      <c r="CO283" s="77" t="s">
        <v>160</v>
      </c>
      <c r="CP283" s="67"/>
      <c r="CQ283" s="38"/>
      <c r="CR283" s="38"/>
      <c r="CS283" s="38"/>
      <c r="CT283" s="38"/>
      <c r="CU283" s="38"/>
      <c r="CV283" s="38"/>
      <c r="CW283" s="38"/>
      <c r="CX283" s="38"/>
      <c r="CY283" s="111"/>
      <c r="CZ283" s="77" t="s">
        <v>160</v>
      </c>
      <c r="DA283" s="67"/>
      <c r="DB283" s="38"/>
      <c r="DC283" s="38"/>
      <c r="DD283" s="38"/>
      <c r="DE283" s="38"/>
      <c r="DF283" s="38"/>
      <c r="DG283" s="38"/>
      <c r="DH283" s="38"/>
      <c r="DI283" s="72"/>
    </row>
    <row r="284" spans="10:113" x14ac:dyDescent="0.25">
      <c r="K284" s="75" t="s">
        <v>108</v>
      </c>
      <c r="L284" s="79">
        <v>2196.1512432322252</v>
      </c>
      <c r="M284" s="80" t="s">
        <v>109</v>
      </c>
      <c r="N284" s="78">
        <v>3072.8513291546892</v>
      </c>
      <c r="O284" s="75" t="s">
        <v>782</v>
      </c>
      <c r="P284" s="508">
        <v>0</v>
      </c>
      <c r="U284" s="48"/>
      <c r="V284" s="48"/>
      <c r="Y284" s="82"/>
      <c r="Z284" s="80"/>
      <c r="AA284" s="48"/>
      <c r="AI284" s="82"/>
      <c r="AJ284" s="80"/>
      <c r="AK284" s="48"/>
      <c r="AT284" s="82"/>
      <c r="AU284" s="80"/>
      <c r="AV284" s="48"/>
      <c r="BP284" s="75" t="s">
        <v>145</v>
      </c>
      <c r="BQ284" s="76" t="e">
        <f>IF([0]!Casilla2,φe_H1_C1,VLOOKUP(Seccion1!provincia_C1,datos_temperatura_julio[],$L$57+1,FALSE))</f>
        <v>#NAME?</v>
      </c>
      <c r="BR284" s="112"/>
      <c r="BS284" s="80" t="s">
        <v>162</v>
      </c>
      <c r="BT284" s="17"/>
      <c r="BY284" s="48"/>
      <c r="BZ284" s="48"/>
      <c r="CB284" s="49"/>
      <c r="CC284" s="112"/>
      <c r="CD284" s="80" t="s">
        <v>162</v>
      </c>
      <c r="CE284" s="48"/>
      <c r="CM284" s="49"/>
      <c r="CN284" s="112"/>
      <c r="CO284" s="80" t="s">
        <v>162</v>
      </c>
      <c r="CP284" s="48"/>
      <c r="CY284" s="112"/>
      <c r="CZ284" s="80" t="s">
        <v>162</v>
      </c>
      <c r="DA284" s="48"/>
      <c r="DI284" s="49"/>
    </row>
    <row r="285" spans="10:113" ht="18.75" thickBot="1" x14ac:dyDescent="0.4">
      <c r="K285" s="486" t="s">
        <v>156</v>
      </c>
      <c r="L285" s="509">
        <v>1603.1904075595244</v>
      </c>
      <c r="M285" s="115" t="s">
        <v>781</v>
      </c>
      <c r="N285" s="487">
        <v>2120.2674171167355</v>
      </c>
      <c r="O285" s="75" t="s">
        <v>161</v>
      </c>
      <c r="P285" s="508">
        <v>1.714980828100307E-11</v>
      </c>
      <c r="Y285" s="79"/>
      <c r="Z285" s="80"/>
      <c r="AA285" s="79"/>
      <c r="AI285" s="79"/>
      <c r="AJ285" s="80"/>
      <c r="AK285" s="79"/>
      <c r="AT285" s="79"/>
      <c r="AU285" s="80"/>
      <c r="AV285" s="79"/>
      <c r="BP285" s="75" t="s">
        <v>108</v>
      </c>
      <c r="BQ285" s="78">
        <f ca="1">IF(ISNUMBER(ϴe_H3_C1),IF(ϴe_H3_C1&gt;=0,610.5*EXP((17.269*ϴe_H3_C1)/(237.3+ϴe_H3_C1)),610.5*EXP((21.875*ϴe_H3_C1)/(265.5+ϴe_H3_C1))),NA())</f>
        <v>871.86452524041533</v>
      </c>
      <c r="BR285" s="113"/>
      <c r="BS285" s="80" t="s">
        <v>125</v>
      </c>
      <c r="BT285" s="79"/>
      <c r="CB285" s="49"/>
      <c r="CC285" s="113"/>
      <c r="CD285" s="80" t="s">
        <v>125</v>
      </c>
      <c r="CE285" s="79"/>
      <c r="CM285" s="49"/>
      <c r="CN285" s="113"/>
      <c r="CO285" s="80" t="s">
        <v>125</v>
      </c>
      <c r="CP285" s="79"/>
      <c r="CY285" s="113"/>
      <c r="CZ285" s="80" t="s">
        <v>125</v>
      </c>
      <c r="DA285" s="79"/>
      <c r="DI285" s="49"/>
    </row>
    <row r="286" spans="10:113" ht="18" x14ac:dyDescent="0.35">
      <c r="K286" s="68" t="s">
        <v>779</v>
      </c>
      <c r="L286" s="70" t="b">
        <v>0</v>
      </c>
      <c r="M286" s="38"/>
      <c r="N286" s="72"/>
      <c r="O286" s="75" t="s">
        <v>628</v>
      </c>
      <c r="P286" s="49"/>
      <c r="Y286" s="79"/>
      <c r="Z286" s="80"/>
      <c r="AA286" s="82"/>
      <c r="AI286" s="79"/>
      <c r="AJ286" s="80"/>
      <c r="AK286" s="82"/>
      <c r="AT286" s="79"/>
      <c r="AU286" s="80"/>
      <c r="AV286" s="82"/>
      <c r="BP286" s="81" t="s">
        <v>109</v>
      </c>
      <c r="BQ286" s="78" t="e">
        <f>IF(ISNUMBER([0]!ϴi_C1),IF([0]!ϴi_C1&gt;=0,610.5*EXP((17.269*[0]!ϴi_C1)/(237.3+[0]!ϴi_C1)),610.5*EXP((21.875*[0]!ϴi_C1)/(265.5+[0]!ϴi_C1))),NA())</f>
        <v>#N/A</v>
      </c>
      <c r="BR286" s="113"/>
      <c r="BS286" s="80" t="s">
        <v>126</v>
      </c>
      <c r="BT286" s="82"/>
      <c r="CB286" s="49"/>
      <c r="CC286" s="113"/>
      <c r="CD286" s="80" t="s">
        <v>126</v>
      </c>
      <c r="CE286" s="82"/>
      <c r="CM286" s="49"/>
      <c r="CN286" s="113"/>
      <c r="CO286" s="80" t="s">
        <v>126</v>
      </c>
      <c r="CP286" s="82"/>
      <c r="CY286" s="113"/>
      <c r="CZ286" s="80" t="s">
        <v>126</v>
      </c>
      <c r="DA286" s="82"/>
      <c r="DI286" s="49"/>
    </row>
    <row r="287" spans="10:113" ht="18" x14ac:dyDescent="0.35">
      <c r="K287" s="75" t="s">
        <v>125</v>
      </c>
      <c r="L287" s="79">
        <v>2650.3342713959191</v>
      </c>
      <c r="M287" s="80" t="s">
        <v>126</v>
      </c>
      <c r="N287" s="76">
        <v>22.049149487458664</v>
      </c>
      <c r="O287" s="43"/>
      <c r="P287" s="49"/>
      <c r="Y287" s="79"/>
      <c r="Z287" s="80"/>
      <c r="AA287" s="83"/>
      <c r="AI287" s="79"/>
      <c r="AJ287" s="80"/>
      <c r="AK287" s="83"/>
      <c r="AT287" s="79"/>
      <c r="AU287" s="80"/>
      <c r="AV287" s="83"/>
      <c r="BP287" s="75" t="s">
        <v>156</v>
      </c>
      <c r="BQ287" s="78">
        <f ca="1">P_sat_e_VN_C1*φe_H3_C1</f>
        <v>767.24078221156549</v>
      </c>
      <c r="BR287" s="113"/>
      <c r="BS287" s="80" t="s">
        <v>127</v>
      </c>
      <c r="BT287" s="83"/>
      <c r="CB287" s="49"/>
      <c r="CC287" s="113"/>
      <c r="CD287" s="80" t="s">
        <v>127</v>
      </c>
      <c r="CE287" s="83"/>
      <c r="CM287" s="49"/>
      <c r="CN287" s="113"/>
      <c r="CO287" s="80" t="s">
        <v>127</v>
      </c>
      <c r="CP287" s="83"/>
      <c r="CY287" s="113"/>
      <c r="CZ287" s="80" t="s">
        <v>127</v>
      </c>
      <c r="DA287" s="83"/>
      <c r="DI287" s="49"/>
    </row>
    <row r="288" spans="10:113" ht="18.75" thickBot="1" x14ac:dyDescent="0.4">
      <c r="K288" s="486" t="s">
        <v>127</v>
      </c>
      <c r="L288" s="512">
        <v>0.55439081590157524</v>
      </c>
      <c r="M288" s="115" t="s">
        <v>122</v>
      </c>
      <c r="N288" s="510">
        <v>0.29173545931963113</v>
      </c>
      <c r="O288" s="57"/>
      <c r="P288" s="61"/>
      <c r="Y288" s="22"/>
      <c r="Z288" s="80"/>
      <c r="AA288" s="22"/>
      <c r="AI288" s="22"/>
      <c r="AJ288" s="80"/>
      <c r="AK288" s="22"/>
      <c r="AT288" s="22"/>
      <c r="AU288" s="80"/>
      <c r="AV288" s="22"/>
      <c r="BP288" s="75"/>
      <c r="BR288" s="114"/>
      <c r="BS288" s="80" t="s">
        <v>122</v>
      </c>
      <c r="BT288" s="22"/>
      <c r="CB288" s="49"/>
      <c r="CC288" s="114"/>
      <c r="CD288" s="80" t="s">
        <v>122</v>
      </c>
      <c r="CE288" s="22"/>
      <c r="CM288" s="49"/>
      <c r="CN288" s="114"/>
      <c r="CO288" s="80" t="s">
        <v>122</v>
      </c>
      <c r="CP288" s="22"/>
      <c r="CY288" s="114"/>
      <c r="CZ288" s="80" t="s">
        <v>122</v>
      </c>
      <c r="DA288" s="22"/>
      <c r="DI288" s="49"/>
    </row>
    <row r="289" spans="10:113" x14ac:dyDescent="0.25">
      <c r="K289" s="80"/>
      <c r="N289" s="28"/>
      <c r="O289" s="17"/>
      <c r="Z289" s="28"/>
      <c r="AA289" s="17"/>
      <c r="AJ289" s="28"/>
      <c r="AK289" s="17"/>
      <c r="AU289" s="28"/>
      <c r="AV289" s="17"/>
      <c r="BP289" s="43"/>
      <c r="BQ289" s="49"/>
      <c r="BR289" s="43"/>
      <c r="BS289" s="28" t="s">
        <v>159</v>
      </c>
      <c r="BT289" s="17"/>
      <c r="CB289" s="49"/>
      <c r="CC289" s="43"/>
      <c r="CD289" s="28" t="s">
        <v>159</v>
      </c>
      <c r="CE289" s="17"/>
      <c r="CM289" s="49"/>
      <c r="CN289" s="43"/>
      <c r="CO289" s="28" t="s">
        <v>159</v>
      </c>
      <c r="CP289" s="17"/>
      <c r="CY289" s="43"/>
      <c r="CZ289" s="28" t="s">
        <v>159</v>
      </c>
      <c r="DA289" s="17"/>
      <c r="DI289" s="49"/>
    </row>
    <row r="290" spans="10:113" ht="15.75" thickBot="1" x14ac:dyDescent="0.3">
      <c r="K290" s="80"/>
      <c r="N290" s="80"/>
      <c r="Z290" s="80"/>
      <c r="AA290" s="17"/>
      <c r="AJ290" s="80"/>
      <c r="AK290" s="17"/>
      <c r="AU290" s="80"/>
      <c r="AV290" s="17"/>
      <c r="BP290" s="57"/>
      <c r="BQ290" s="61"/>
      <c r="BR290" s="57"/>
      <c r="BS290" s="115" t="s">
        <v>161</v>
      </c>
      <c r="BT290" s="58"/>
      <c r="BU290" s="58"/>
      <c r="BV290" s="58"/>
      <c r="BW290" s="58"/>
      <c r="BX290" s="58"/>
      <c r="BY290" s="58"/>
      <c r="BZ290" s="58"/>
      <c r="CA290" s="58"/>
      <c r="CB290" s="61"/>
      <c r="CC290" s="57"/>
      <c r="CD290" s="115" t="s">
        <v>161</v>
      </c>
      <c r="CE290" s="84"/>
      <c r="CF290" s="58"/>
      <c r="CG290" s="58"/>
      <c r="CH290" s="58"/>
      <c r="CI290" s="58"/>
      <c r="CJ290" s="58"/>
      <c r="CK290" s="58"/>
      <c r="CL290" s="58"/>
      <c r="CM290" s="61"/>
      <c r="CN290" s="57"/>
      <c r="CO290" s="115" t="s">
        <v>161</v>
      </c>
      <c r="CP290" s="84"/>
      <c r="CQ290" s="58"/>
      <c r="CR290" s="58"/>
      <c r="CS290" s="58"/>
      <c r="CT290" s="58"/>
      <c r="CU290" s="58"/>
      <c r="CV290" s="58"/>
      <c r="CW290" s="58"/>
      <c r="CX290" s="58"/>
      <c r="CY290" s="57"/>
      <c r="CZ290" s="115" t="s">
        <v>161</v>
      </c>
      <c r="DA290" s="84"/>
      <c r="DB290" s="58"/>
      <c r="DC290" s="58"/>
      <c r="DD290" s="58"/>
      <c r="DE290" s="58"/>
      <c r="DF290" s="58"/>
      <c r="DG290" s="58"/>
      <c r="DH290" s="58"/>
      <c r="DI290" s="61"/>
    </row>
    <row r="291" spans="10:113" ht="15.75" thickBot="1" x14ac:dyDescent="0.3">
      <c r="K291" s="516" t="s">
        <v>179</v>
      </c>
      <c r="L291" s="30">
        <v>8</v>
      </c>
      <c r="M291" s="110" t="str">
        <f>VLOOKUP(L291,Aux!$AL$72:$AM$83,2,FALSE)</f>
        <v>Agosto</v>
      </c>
      <c r="N291" s="32"/>
      <c r="O291" s="32"/>
      <c r="P291" s="32"/>
      <c r="Q291" s="540"/>
      <c r="R291" s="32"/>
      <c r="S291" s="32"/>
      <c r="T291" s="32"/>
      <c r="U291" s="32"/>
      <c r="V291" s="32"/>
      <c r="W291" s="32"/>
      <c r="X291" s="33"/>
      <c r="Y291" s="32"/>
      <c r="Z291" s="32"/>
      <c r="AA291" s="33"/>
    </row>
    <row r="292" spans="10:113" ht="15.75" thickBot="1" x14ac:dyDescent="0.3">
      <c r="K292" s="42" t="s">
        <v>120</v>
      </c>
      <c r="L292" s="41" t="s">
        <v>121</v>
      </c>
      <c r="M292" s="515" t="s">
        <v>265</v>
      </c>
      <c r="N292" s="35" t="s">
        <v>146</v>
      </c>
      <c r="O292" s="35" t="s">
        <v>806</v>
      </c>
      <c r="P292" s="35" t="s">
        <v>167</v>
      </c>
      <c r="Q292" s="35" t="s">
        <v>807</v>
      </c>
      <c r="R292" s="35" t="s">
        <v>783</v>
      </c>
      <c r="S292" s="532" t="s">
        <v>170</v>
      </c>
      <c r="T292" s="40" t="s">
        <v>178</v>
      </c>
      <c r="U292" s="40" t="s">
        <v>169</v>
      </c>
      <c r="V292" s="40" t="s">
        <v>168</v>
      </c>
      <c r="W292" s="40" t="s">
        <v>175</v>
      </c>
      <c r="X292" s="41" t="s">
        <v>176</v>
      </c>
      <c r="Y292" s="40"/>
      <c r="Z292" s="40"/>
      <c r="AA292" s="41"/>
      <c r="AB292" s="80"/>
      <c r="AG292" s="80"/>
      <c r="AH292" s="17"/>
      <c r="AI292" s="17"/>
      <c r="AJ292" s="80"/>
      <c r="AK292" s="22"/>
      <c r="AM292" s="80"/>
      <c r="AN292" s="80"/>
      <c r="AO292" s="80"/>
      <c r="AP292" s="80"/>
      <c r="AQ292" s="80"/>
      <c r="AR292" s="80"/>
      <c r="AS292" s="17"/>
      <c r="AT292" s="17"/>
      <c r="AU292" s="80"/>
      <c r="AV292" s="22"/>
      <c r="AX292" s="80"/>
      <c r="AY292" s="80"/>
      <c r="AZ292" s="80"/>
      <c r="BA292" s="80"/>
      <c r="BB292" s="80"/>
      <c r="BC292" s="80"/>
      <c r="BD292" s="17"/>
      <c r="BP292" s="29" t="s">
        <v>179</v>
      </c>
      <c r="BQ292" s="30">
        <v>9</v>
      </c>
      <c r="BR292" s="110"/>
      <c r="BS292" s="34" t="s">
        <v>163</v>
      </c>
      <c r="BT292" s="31">
        <f ca="1">P_sat_i_VN_C1*VLOOKUP(1,φi[],2,FALSE)</f>
        <v>1519.0182434715223</v>
      </c>
      <c r="BU292" s="32"/>
      <c r="BV292" s="32"/>
      <c r="BW292" s="32"/>
      <c r="BX292" s="32"/>
      <c r="BY292" s="32"/>
      <c r="BZ292" s="32"/>
      <c r="CA292" s="34" t="s">
        <v>267</v>
      </c>
      <c r="CB292" s="30">
        <f>VLOOKUP(1,φi[],2,FALSE)</f>
        <v>0.65</v>
      </c>
      <c r="CC292" s="110"/>
      <c r="CD292" s="34" t="s">
        <v>164</v>
      </c>
      <c r="CE292" s="31">
        <f ca="1">P_sat_i_VN_C1*VLOOKUP(2,φi[],2,FALSE)</f>
        <v>1752.7133578517564</v>
      </c>
      <c r="CF292" s="34"/>
      <c r="CG292" s="34"/>
      <c r="CH292" s="32"/>
      <c r="CI292" s="32"/>
      <c r="CJ292" s="32"/>
      <c r="CK292" s="32"/>
      <c r="CL292" s="34" t="s">
        <v>268</v>
      </c>
      <c r="CM292" s="30">
        <f>VLOOKUP(2,φi[],2,FALSE)</f>
        <v>0.75</v>
      </c>
      <c r="CN292" s="110"/>
      <c r="CO292" s="34" t="s">
        <v>165</v>
      </c>
      <c r="CP292" s="31">
        <f ca="1">P_sat_i_VN_C1*VLOOKUP(3,φi[],2,FALSE)</f>
        <v>1869.5609150418736</v>
      </c>
      <c r="CQ292" s="32"/>
      <c r="CR292" s="34"/>
      <c r="CS292" s="34"/>
      <c r="CT292" s="34"/>
      <c r="CU292" s="34"/>
      <c r="CV292" s="34"/>
      <c r="CW292" s="34" t="s">
        <v>269</v>
      </c>
      <c r="CX292" s="116">
        <f>VLOOKUP(3,φi[],2,FALSE)</f>
        <v>0.8</v>
      </c>
      <c r="CY292" s="110"/>
      <c r="CZ292" s="34" t="s">
        <v>166</v>
      </c>
      <c r="DA292" s="31">
        <f ca="1">P_sat_i_VN_C1*Seccion1!φi_C1</f>
        <v>747.82436601674965</v>
      </c>
      <c r="DB292" s="32"/>
      <c r="DC292" s="34"/>
      <c r="DD292" s="34"/>
      <c r="DE292" s="34"/>
      <c r="DF292" s="34"/>
      <c r="DG292" s="34"/>
      <c r="DH292" s="34" t="s">
        <v>154</v>
      </c>
      <c r="DI292" s="30"/>
    </row>
    <row r="293" spans="10:113" x14ac:dyDescent="0.25">
      <c r="J293" s="517"/>
      <c r="K293" s="46">
        <v>19</v>
      </c>
      <c r="L293" s="47">
        <v>2196.1512432322252</v>
      </c>
      <c r="M293" s="54"/>
      <c r="N293" s="44" t="s">
        <v>107</v>
      </c>
      <c r="O293" s="44" t="e">
        <v>#N/A</v>
      </c>
      <c r="P293" s="15" t="e">
        <v>#N/A</v>
      </c>
      <c r="Q293" s="541"/>
      <c r="R293" s="44"/>
      <c r="S293" s="533"/>
      <c r="T293" s="44"/>
      <c r="U293" s="44"/>
      <c r="V293" s="44"/>
      <c r="W293" s="44"/>
      <c r="X293" s="531"/>
      <c r="Y293" s="44"/>
      <c r="Z293" s="44"/>
      <c r="AA293" s="531"/>
      <c r="AB293" s="35"/>
      <c r="AC293" s="35"/>
      <c r="AD293" s="35"/>
      <c r="AE293" s="35"/>
      <c r="AF293" s="35"/>
      <c r="AG293" s="35"/>
      <c r="AH293" s="35"/>
      <c r="AI293" s="511"/>
      <c r="AJ293" s="35"/>
      <c r="AK293" s="35"/>
      <c r="AL293" s="35"/>
      <c r="AM293" s="35"/>
      <c r="AN293" s="35"/>
      <c r="AO293" s="35"/>
      <c r="AP293" s="35"/>
      <c r="AQ293" s="35"/>
      <c r="AR293" s="35"/>
      <c r="AS293" s="35"/>
      <c r="AT293" s="511"/>
      <c r="AU293" s="35"/>
      <c r="AV293" s="35"/>
      <c r="AW293" s="35"/>
      <c r="AX293" s="35"/>
      <c r="AY293" s="35"/>
      <c r="AZ293" s="35"/>
      <c r="BA293" s="35"/>
      <c r="BB293" s="35"/>
      <c r="BC293" s="35"/>
      <c r="BD293" s="35"/>
      <c r="BP293" s="42" t="s">
        <v>120</v>
      </c>
      <c r="BQ293" s="41" t="s">
        <v>121</v>
      </c>
      <c r="BR293" s="42" t="s">
        <v>265</v>
      </c>
      <c r="BS293" s="40" t="s">
        <v>146</v>
      </c>
      <c r="BT293" s="40" t="s">
        <v>147</v>
      </c>
      <c r="BU293" s="40" t="s">
        <v>170</v>
      </c>
      <c r="BV293" s="40" t="s">
        <v>178</v>
      </c>
      <c r="BW293" s="40" t="s">
        <v>169</v>
      </c>
      <c r="BX293" s="40" t="s">
        <v>168</v>
      </c>
      <c r="BY293" s="40" t="s">
        <v>175</v>
      </c>
      <c r="BZ293" s="40" t="s">
        <v>176</v>
      </c>
      <c r="CA293" s="40" t="s">
        <v>167</v>
      </c>
      <c r="CB293" s="41" t="s">
        <v>266</v>
      </c>
      <c r="CC293" s="42" t="s">
        <v>265</v>
      </c>
      <c r="CD293" s="40" t="s">
        <v>148</v>
      </c>
      <c r="CE293" s="40" t="s">
        <v>149</v>
      </c>
      <c r="CF293" s="40" t="s">
        <v>170</v>
      </c>
      <c r="CG293" s="40" t="s">
        <v>178</v>
      </c>
      <c r="CH293" s="40" t="s">
        <v>169</v>
      </c>
      <c r="CI293" s="40" t="s">
        <v>168</v>
      </c>
      <c r="CJ293" s="40" t="s">
        <v>175</v>
      </c>
      <c r="CK293" s="40" t="s">
        <v>176</v>
      </c>
      <c r="CL293" s="40" t="s">
        <v>171</v>
      </c>
      <c r="CM293" s="41" t="s">
        <v>266</v>
      </c>
      <c r="CN293" s="42" t="s">
        <v>265</v>
      </c>
      <c r="CO293" s="40" t="s">
        <v>150</v>
      </c>
      <c r="CP293" s="40" t="s">
        <v>151</v>
      </c>
      <c r="CQ293" s="40" t="s">
        <v>170</v>
      </c>
      <c r="CR293" s="40" t="s">
        <v>178</v>
      </c>
      <c r="CS293" s="40" t="s">
        <v>169</v>
      </c>
      <c r="CT293" s="40" t="s">
        <v>168</v>
      </c>
      <c r="CU293" s="40" t="s">
        <v>175</v>
      </c>
      <c r="CV293" s="40" t="s">
        <v>176</v>
      </c>
      <c r="CW293" s="40" t="s">
        <v>172</v>
      </c>
      <c r="CX293" s="41" t="s">
        <v>266</v>
      </c>
      <c r="CY293" s="42" t="s">
        <v>265</v>
      </c>
      <c r="CZ293" s="40" t="s">
        <v>152</v>
      </c>
      <c r="DA293" s="40" t="s">
        <v>153</v>
      </c>
      <c r="DB293" s="40" t="s">
        <v>170</v>
      </c>
      <c r="DC293" s="40" t="s">
        <v>178</v>
      </c>
      <c r="DD293" s="40" t="s">
        <v>169</v>
      </c>
      <c r="DE293" s="40" t="s">
        <v>168</v>
      </c>
      <c r="DF293" s="40" t="s">
        <v>175</v>
      </c>
      <c r="DG293" s="40" t="s">
        <v>176</v>
      </c>
      <c r="DH293" s="40" t="s">
        <v>177</v>
      </c>
      <c r="DI293" s="41" t="s">
        <v>266</v>
      </c>
    </row>
    <row r="294" spans="10:113" x14ac:dyDescent="0.25">
      <c r="J294" s="517"/>
      <c r="K294" s="53">
        <v>19.03181489515546</v>
      </c>
      <c r="L294" s="47">
        <v>2200.5137643695753</v>
      </c>
      <c r="M294" s="54">
        <v>14.489071414744854</v>
      </c>
      <c r="N294" s="50">
        <v>1647.1134324241689</v>
      </c>
      <c r="O294" s="55">
        <v>0</v>
      </c>
      <c r="P294" s="50">
        <f ca="1">IF(ISNA(T294),
_xlfn.FORECAST.LINEAR($J60,INDIRECT(W294),INDIRECT(X294)),T294)</f>
        <v>1647.1134324241689</v>
      </c>
      <c r="Q294" s="514"/>
      <c r="R294" s="50"/>
      <c r="S294" s="535" cm="1">
        <f t="array" ref="S294">SUM(IF(ISNUMBER(T$294:T294),1,0))+IF($J294&gt;Capas_VN_C1,1,0)</f>
        <v>1</v>
      </c>
      <c r="T294" s="50">
        <f>IF(O294=1,$L294,L311)</f>
        <v>1647.1134324241689</v>
      </c>
      <c r="U294" s="50">
        <f>VLOOKUP($J295,$S$294:$T$306,2,FALSE)</f>
        <v>1647.1134324241689</v>
      </c>
      <c r="V294" s="50">
        <f>INDEX($J$60:$J$72,MATCH(U294,T$294:T$306,0))</f>
        <v>0</v>
      </c>
      <c r="W294" s="50" t="str">
        <f>CONCATENATE(ADDRESS(ROW(U$294)-1+S294,COLUMN(U$294)),":",ADDRESS(ROW(U$294)+S294,COLUMN(U$294)))</f>
        <v>$U$294:$U$295</v>
      </c>
      <c r="X294" s="214" t="str">
        <f>CONCATENATE(ADDRESS(ROW(V$294)-1+S294,COLUMN(V$294)),":",ADDRESS(ROW(V$294)+S294,COLUMN(V$294)))</f>
        <v>$V$294:$V$295</v>
      </c>
      <c r="Y294" s="50"/>
      <c r="Z294" s="50"/>
      <c r="AA294" s="214"/>
      <c r="AC294" s="48"/>
      <c r="AD294" s="48"/>
      <c r="AE294" s="48"/>
      <c r="AF294" s="48"/>
      <c r="AI294" s="51"/>
      <c r="AJ294" s="44"/>
      <c r="AK294" s="44"/>
      <c r="AN294" s="48"/>
      <c r="AO294" s="48"/>
      <c r="AP294" s="48"/>
      <c r="AQ294" s="48"/>
      <c r="AT294" s="51"/>
      <c r="AU294" s="44"/>
      <c r="AV294" s="44"/>
      <c r="AY294" s="48"/>
      <c r="AZ294" s="48"/>
      <c r="BA294" s="48"/>
      <c r="BB294" s="48"/>
      <c r="BP294" s="46"/>
      <c r="BQ294" s="52"/>
      <c r="BR294" s="54"/>
      <c r="BS294" s="44"/>
      <c r="BT294" s="44"/>
      <c r="BW294" s="48"/>
      <c r="BX294" s="48"/>
      <c r="BY294" s="48"/>
      <c r="BZ294" s="48"/>
      <c r="CB294" s="49"/>
      <c r="CC294" s="54"/>
      <c r="CD294" s="44"/>
      <c r="CE294" s="44"/>
      <c r="CH294" s="48"/>
      <c r="CI294" s="48"/>
      <c r="CJ294" s="48"/>
      <c r="CK294" s="48"/>
      <c r="CM294" s="49"/>
      <c r="CN294" s="54"/>
      <c r="CO294" s="44"/>
      <c r="CP294" s="44"/>
      <c r="CS294" s="48"/>
      <c r="CT294" s="48"/>
      <c r="CU294" s="48"/>
      <c r="CV294" s="48"/>
      <c r="CY294" s="54"/>
      <c r="CZ294" s="44"/>
      <c r="DA294" s="44"/>
      <c r="DD294" s="48"/>
      <c r="DE294" s="48"/>
      <c r="DF294" s="48"/>
      <c r="DG294" s="48"/>
      <c r="DI294" s="49"/>
    </row>
    <row r="295" spans="10:113" x14ac:dyDescent="0.25">
      <c r="J295" s="15">
        <v>1</v>
      </c>
      <c r="K295" s="53">
        <v>19.071583514099782</v>
      </c>
      <c r="L295" s="47">
        <v>2205.9775762931549</v>
      </c>
      <c r="M295" s="54">
        <v>17.828234728036609</v>
      </c>
      <c r="N295" s="50">
        <v>2039.4389455918727</v>
      </c>
      <c r="O295" s="55">
        <f t="array" aca="1" ref="O295:O306" ca="1">IF((N295:N306&gt;=L295:L306)+(R269:R280&gt;0),1,0)</f>
        <v>1</v>
      </c>
      <c r="P295" s="50">
        <f t="shared" ref="P295:P306" ca="1" si="258">IF(ISNA(T295),
_xlfn.FORECAST.LINEAR($J61,INDIRECT(W295),INDIRECT(X295)),T295)</f>
        <v>2205.9775762931549</v>
      </c>
      <c r="Q295" s="534">
        <f ca="1">IF(O295=1,δ_0*(SLOPE(INDIRECT(VLOOKUP(S295,$S$294:$X$306,5,FALSE)),INDIRECT(VLOOKUP(S295,$S$294:$X$306,6,FALSE)))-SLOPE(INDIRECT(VLOOKUP(S295-1,$S$294:$X$306,5,FALSE)),INDIRECT(VLOOKUP(S295-1,$S$294:$X$306,6,FALSE)))),0)*86400*VLOOKUP($L$291,Aux!$AL$72:$AN$83,3,FALSE)</f>
        <v>-1.0444521608062032E-4</v>
      </c>
      <c r="R295" s="534">
        <f ca="1">IFERROR(IF(Q295+R269&lt;0,0,Q295+R269),0)</f>
        <v>7.7138677138430852E-4</v>
      </c>
      <c r="S295" s="535" cm="1">
        <f t="array" aca="1" ref="S295" ca="1">SUM(IF(ISNUMBER(T$294:T295),1,0))+IF($J295&gt;Capas_VN_C1,1,0)</f>
        <v>2</v>
      </c>
      <c r="T295" s="50">
        <f t="shared" ref="T295:T306" ca="1" si="259">IF(O295=1,$L295,IF(J295=Capas_VN_C1,$N$311,NA()))</f>
        <v>2205.9775762931549</v>
      </c>
      <c r="U295" s="50">
        <f t="shared" ref="U295:U306" ca="1" si="260">VLOOKUP($J296,$S$294:$T$306,2,FALSE)</f>
        <v>2205.9775762931549</v>
      </c>
      <c r="V295" s="50">
        <f t="shared" ref="V295:V306" ca="1" si="261">INDEX($J$60:$J$72,MATCH(U295,T$294:T$306,0))</f>
        <v>5000</v>
      </c>
      <c r="W295" s="50" t="str">
        <f t="shared" ref="W295:W306" ca="1" si="262">CONCATENATE(ADDRESS(ROW(U$294)-1+S295,COLUMN(U$294)),":",ADDRESS(ROW(U$294)+S295,COLUMN(U$294)))</f>
        <v>$U$295:$U$296</v>
      </c>
      <c r="X295" s="214" t="str">
        <f t="shared" ref="X295:X306" ca="1" si="263">CONCATENATE(ADDRESS(ROW(V$294)-1+S295,COLUMN(V$294)),":",ADDRESS(ROW(V$294)+S295,COLUMN(V$294)))</f>
        <v>$V$295:$V$296</v>
      </c>
      <c r="Y295" s="50"/>
      <c r="Z295" s="50"/>
      <c r="AA295" s="214"/>
      <c r="AB295" s="51"/>
      <c r="AC295" s="51"/>
      <c r="AD295" s="51"/>
      <c r="AE295" s="48"/>
      <c r="AF295" s="48"/>
      <c r="AG295" s="50"/>
      <c r="AH295" s="50"/>
      <c r="AI295" s="51"/>
      <c r="AJ295" s="50"/>
      <c r="AK295" s="55"/>
      <c r="AL295" s="55"/>
      <c r="AM295" s="51"/>
      <c r="AN295" s="51"/>
      <c r="AO295" s="51"/>
      <c r="AP295" s="48"/>
      <c r="AQ295" s="48"/>
      <c r="AR295" s="50"/>
      <c r="AS295" s="50"/>
      <c r="AT295" s="51"/>
      <c r="AU295" s="50"/>
      <c r="AV295" s="55"/>
      <c r="AW295" s="55"/>
      <c r="AX295" s="50"/>
      <c r="AY295" s="51"/>
      <c r="AZ295" s="51"/>
      <c r="BA295" s="48"/>
      <c r="BB295" s="48"/>
      <c r="BC295" s="50"/>
      <c r="BD295" s="50"/>
      <c r="BP295" s="53"/>
      <c r="BQ295" s="52"/>
      <c r="BR295" s="54"/>
      <c r="BS295" s="50"/>
      <c r="BT295" s="55"/>
      <c r="BU295" s="55"/>
      <c r="BV295" s="51"/>
      <c r="BW295" s="51"/>
      <c r="BX295" s="51"/>
      <c r="BY295" s="48"/>
      <c r="BZ295" s="48"/>
      <c r="CA295" s="50"/>
      <c r="CB295" s="52"/>
      <c r="CC295" s="54"/>
      <c r="CD295" s="50"/>
      <c r="CE295" s="55"/>
      <c r="CF295" s="55"/>
      <c r="CG295" s="51"/>
      <c r="CH295" s="51"/>
      <c r="CI295" s="51"/>
      <c r="CJ295" s="48"/>
      <c r="CK295" s="48"/>
      <c r="CL295" s="50"/>
      <c r="CM295" s="52"/>
      <c r="CN295" s="54"/>
      <c r="CO295" s="50"/>
      <c r="CP295" s="55"/>
      <c r="CQ295" s="55"/>
      <c r="CR295" s="51"/>
      <c r="CS295" s="51"/>
      <c r="CT295" s="51"/>
      <c r="CU295" s="48"/>
      <c r="CV295" s="48"/>
      <c r="CW295" s="50"/>
      <c r="CX295" s="50"/>
      <c r="CY295" s="54"/>
      <c r="CZ295" s="50"/>
      <c r="DA295" s="55"/>
      <c r="DB295" s="55"/>
      <c r="DC295" s="50"/>
      <c r="DD295" s="51"/>
      <c r="DE295" s="51"/>
      <c r="DF295" s="48"/>
      <c r="DG295" s="48"/>
      <c r="DH295" s="50"/>
      <c r="DI295" s="52"/>
    </row>
    <row r="296" spans="10:113" x14ac:dyDescent="0.25">
      <c r="J296" s="15">
        <v>2</v>
      </c>
      <c r="K296" s="53">
        <v>21.457700650759218</v>
      </c>
      <c r="L296" s="47">
        <v>2556.3217531821374</v>
      </c>
      <c r="M296" s="54">
        <v>17.83736696053165</v>
      </c>
      <c r="N296" s="50">
        <v>2040.6159221313756</v>
      </c>
      <c r="O296" s="55">
        <f ca="1"/>
        <v>0</v>
      </c>
      <c r="P296" s="50">
        <f t="shared" ca="1" si="258"/>
        <v>2204.7295154966978</v>
      </c>
      <c r="Q296" s="534">
        <f ca="1">IF(O296=1,δ_0*(SLOPE(INDIRECT(VLOOKUP(S296,$S$294:$X$306,5,FALSE)),INDIRECT(VLOOKUP(S296,$S$294:$X$306,6,FALSE)))-SLOPE(INDIRECT(VLOOKUP(S296-1,$S$294:$X$306,5,FALSE)),INDIRECT(VLOOKUP(S296-1,$S$294:$X$306,6,FALSE)))),0)*86400*VLOOKUP($L$291,Aux!$AL$72:$AN$83,3,FALSE)</f>
        <v>0</v>
      </c>
      <c r="R296" s="534">
        <f t="shared" ref="R296:R306" ca="1" si="264">IFERROR(IF(Q296+R270&lt;0,0,Q296+R270),0)</f>
        <v>0</v>
      </c>
      <c r="S296" s="535" cm="1">
        <f t="array" aca="1" ref="S296" ca="1">SUM(IF(ISNUMBER(T$294:T296),1,0))+IF($J296&gt;Capas_VN_C1,1,0)</f>
        <v>2</v>
      </c>
      <c r="T296" s="50" t="e">
        <f t="shared" ca="1" si="259"/>
        <v>#N/A</v>
      </c>
      <c r="U296" s="50">
        <f t="shared" ca="1" si="260"/>
        <v>2120.2674171167355</v>
      </c>
      <c r="V296" s="50">
        <f t="shared" ca="1" si="261"/>
        <v>6030.12</v>
      </c>
      <c r="W296" s="50" t="str">
        <f t="shared" ca="1" si="262"/>
        <v>$U$295:$U$296</v>
      </c>
      <c r="X296" s="214" t="str">
        <f t="shared" ca="1" si="263"/>
        <v>$V$295:$V$296</v>
      </c>
      <c r="Y296" s="50"/>
      <c r="Z296" s="50"/>
      <c r="AA296" s="214"/>
      <c r="AB296" s="51"/>
      <c r="AC296" s="51"/>
      <c r="AD296" s="51"/>
      <c r="AE296" s="48"/>
      <c r="AF296" s="48"/>
      <c r="AG296" s="50"/>
      <c r="AH296" s="50"/>
      <c r="AI296" s="51"/>
      <c r="AJ296" s="50"/>
      <c r="AK296" s="55"/>
      <c r="AL296" s="55"/>
      <c r="AM296" s="51"/>
      <c r="AN296" s="51"/>
      <c r="AO296" s="51"/>
      <c r="AP296" s="48"/>
      <c r="AQ296" s="48"/>
      <c r="AR296" s="50"/>
      <c r="AS296" s="50"/>
      <c r="AT296" s="51"/>
      <c r="AU296" s="50"/>
      <c r="AV296" s="55"/>
      <c r="AW296" s="55"/>
      <c r="AX296" s="50"/>
      <c r="AY296" s="51"/>
      <c r="AZ296" s="51"/>
      <c r="BA296" s="48"/>
      <c r="BB296" s="48"/>
      <c r="BC296" s="50"/>
      <c r="BD296" s="50"/>
      <c r="BP296" s="53"/>
      <c r="BQ296" s="52"/>
      <c r="BR296" s="54"/>
      <c r="BS296" s="50"/>
      <c r="BT296" s="55"/>
      <c r="BU296" s="55"/>
      <c r="BV296" s="51"/>
      <c r="BW296" s="51"/>
      <c r="BX296" s="51"/>
      <c r="BY296" s="48"/>
      <c r="BZ296" s="48"/>
      <c r="CA296" s="50"/>
      <c r="CB296" s="52"/>
      <c r="CC296" s="54"/>
      <c r="CD296" s="50"/>
      <c r="CE296" s="55"/>
      <c r="CF296" s="55"/>
      <c r="CG296" s="51"/>
      <c r="CH296" s="51"/>
      <c r="CI296" s="51"/>
      <c r="CJ296" s="48"/>
      <c r="CK296" s="48"/>
      <c r="CL296" s="50"/>
      <c r="CM296" s="52"/>
      <c r="CN296" s="54"/>
      <c r="CO296" s="50"/>
      <c r="CP296" s="55"/>
      <c r="CQ296" s="55"/>
      <c r="CR296" s="51"/>
      <c r="CS296" s="51"/>
      <c r="CT296" s="51"/>
      <c r="CU296" s="48"/>
      <c r="CV296" s="48"/>
      <c r="CW296" s="50"/>
      <c r="CX296" s="50"/>
      <c r="CY296" s="54"/>
      <c r="CZ296" s="50"/>
      <c r="DA296" s="55"/>
      <c r="DB296" s="55"/>
      <c r="DC296" s="50"/>
      <c r="DD296" s="51"/>
      <c r="DE296" s="51"/>
      <c r="DF296" s="48"/>
      <c r="DG296" s="48"/>
      <c r="DH296" s="50"/>
      <c r="DI296" s="52"/>
    </row>
    <row r="297" spans="10:113" x14ac:dyDescent="0.25">
      <c r="J297" s="15">
        <v>3</v>
      </c>
      <c r="K297" s="53">
        <v>21.457700650759218</v>
      </c>
      <c r="L297" s="47">
        <v>2556.3217531821374</v>
      </c>
      <c r="M297" s="54">
        <v>18.43597830627904</v>
      </c>
      <c r="N297" s="50">
        <v>2119.0810247649165</v>
      </c>
      <c r="O297" s="55">
        <f ca="1"/>
        <v>0</v>
      </c>
      <c r="P297" s="50">
        <f t="shared" ca="1" si="258"/>
        <v>2121.5254623995643</v>
      </c>
      <c r="Q297" s="534">
        <f ca="1">IF(O297=1,δ_0*(SLOPE(INDIRECT(VLOOKUP(S297,$S$294:$X$306,5,FALSE)),INDIRECT(VLOOKUP(S297,$S$294:$X$306,6,FALSE)))-SLOPE(INDIRECT(VLOOKUP(S297-1,$S$294:$X$306,5,FALSE)),INDIRECT(VLOOKUP(S297-1,$S$294:$X$306,6,FALSE)))),0)*86400*VLOOKUP($L$291,Aux!$AL$72:$AN$83,3,FALSE)</f>
        <v>0</v>
      </c>
      <c r="R297" s="534">
        <f t="shared" ca="1" si="264"/>
        <v>0</v>
      </c>
      <c r="S297" s="535" cm="1">
        <f t="array" aca="1" ref="S297" ca="1">SUM(IF(ISNUMBER(T$294:T297),1,0))+IF($J297&gt;Capas_VN_C1,1,0)</f>
        <v>2</v>
      </c>
      <c r="T297" s="50" t="e">
        <f t="shared" ca="1" si="259"/>
        <v>#N/A</v>
      </c>
      <c r="U297" s="50" t="e">
        <f t="shared" ca="1" si="260"/>
        <v>#N/A</v>
      </c>
      <c r="V297" s="50" t="e">
        <f t="shared" ca="1" si="261"/>
        <v>#N/A</v>
      </c>
      <c r="W297" s="50" t="str">
        <f t="shared" ca="1" si="262"/>
        <v>$U$295:$U$296</v>
      </c>
      <c r="X297" s="214" t="str">
        <f t="shared" ca="1" si="263"/>
        <v>$V$295:$V$296</v>
      </c>
      <c r="Y297" s="50"/>
      <c r="Z297" s="50"/>
      <c r="AA297" s="214"/>
      <c r="AB297" s="51"/>
      <c r="AC297" s="51"/>
      <c r="AD297" s="51"/>
      <c r="AE297" s="48"/>
      <c r="AF297" s="48"/>
      <c r="AG297" s="50"/>
      <c r="AH297" s="50"/>
      <c r="AI297" s="51"/>
      <c r="AJ297" s="50"/>
      <c r="AK297" s="55"/>
      <c r="AL297" s="55"/>
      <c r="AM297" s="51"/>
      <c r="AN297" s="51"/>
      <c r="AO297" s="51"/>
      <c r="AP297" s="48"/>
      <c r="AQ297" s="48"/>
      <c r="AR297" s="50"/>
      <c r="AS297" s="50"/>
      <c r="AT297" s="51"/>
      <c r="AU297" s="50"/>
      <c r="AV297" s="55"/>
      <c r="AW297" s="55"/>
      <c r="AX297" s="50"/>
      <c r="AY297" s="51"/>
      <c r="AZ297" s="51"/>
      <c r="BA297" s="48"/>
      <c r="BB297" s="48"/>
      <c r="BC297" s="50"/>
      <c r="BD297" s="50"/>
      <c r="BP297" s="53"/>
      <c r="BQ297" s="52"/>
      <c r="BR297" s="54"/>
      <c r="BS297" s="50"/>
      <c r="BT297" s="55"/>
      <c r="BU297" s="55"/>
      <c r="BV297" s="51"/>
      <c r="BW297" s="51"/>
      <c r="BX297" s="51"/>
      <c r="BY297" s="48"/>
      <c r="BZ297" s="48"/>
      <c r="CA297" s="50"/>
      <c r="CB297" s="52"/>
      <c r="CC297" s="54"/>
      <c r="CD297" s="50"/>
      <c r="CE297" s="55"/>
      <c r="CF297" s="55"/>
      <c r="CG297" s="51"/>
      <c r="CH297" s="51"/>
      <c r="CI297" s="51"/>
      <c r="CJ297" s="48"/>
      <c r="CK297" s="48"/>
      <c r="CL297" s="50"/>
      <c r="CM297" s="52"/>
      <c r="CN297" s="54"/>
      <c r="CO297" s="50"/>
      <c r="CP297" s="55"/>
      <c r="CQ297" s="55"/>
      <c r="CR297" s="51"/>
      <c r="CS297" s="51"/>
      <c r="CT297" s="51"/>
      <c r="CU297" s="48"/>
      <c r="CV297" s="48"/>
      <c r="CW297" s="50"/>
      <c r="CX297" s="50"/>
      <c r="CY297" s="54"/>
      <c r="CZ297" s="50"/>
      <c r="DA297" s="55"/>
      <c r="DB297" s="55"/>
      <c r="DC297" s="50"/>
      <c r="DD297" s="51"/>
      <c r="DE297" s="51"/>
      <c r="DF297" s="48"/>
      <c r="DG297" s="48"/>
      <c r="DH297" s="50"/>
      <c r="DI297" s="52"/>
    </row>
    <row r="298" spans="10:113" x14ac:dyDescent="0.25">
      <c r="J298" s="15">
        <v>4</v>
      </c>
      <c r="K298" s="53">
        <v>24.360809833694866</v>
      </c>
      <c r="L298" s="47">
        <v>3047.3713027493968</v>
      </c>
      <c r="M298" s="54">
        <v>18.444808142894363</v>
      </c>
      <c r="N298" s="50">
        <v>2120.2580013044194</v>
      </c>
      <c r="O298" s="55">
        <f ca="1"/>
        <v>0</v>
      </c>
      <c r="P298" s="50">
        <f t="shared" ca="1" si="258"/>
        <v>2120.2774016031071</v>
      </c>
      <c r="Q298" s="534">
        <f ca="1">IF(O298=1,δ_0*(SLOPE(INDIRECT(VLOOKUP(S298,$S$294:$X$306,5,FALSE)),INDIRECT(VLOOKUP(S298,$S$294:$X$306,6,FALSE)))-SLOPE(INDIRECT(VLOOKUP(S298-1,$S$294:$X$306,5,FALSE)),INDIRECT(VLOOKUP(S298-1,$S$294:$X$306,6,FALSE)))),0)*86400*VLOOKUP($L$291,Aux!$AL$72:$AN$83,3,FALSE)</f>
        <v>0</v>
      </c>
      <c r="R298" s="534">
        <f t="shared" ca="1" si="264"/>
        <v>0</v>
      </c>
      <c r="S298" s="535" cm="1">
        <f t="array" aca="1" ref="S298" ca="1">SUM(IF(ISNUMBER(T$294:T298),1,0))+IF($J298&gt;Capas_VN_C1,1,0)</f>
        <v>2</v>
      </c>
      <c r="T298" s="50" t="e">
        <f t="shared" ca="1" si="259"/>
        <v>#N/A</v>
      </c>
      <c r="U298" s="50" t="e">
        <f t="shared" ca="1" si="260"/>
        <v>#N/A</v>
      </c>
      <c r="V298" s="50" t="e">
        <f t="shared" ca="1" si="261"/>
        <v>#N/A</v>
      </c>
      <c r="W298" s="50" t="str">
        <f t="shared" ca="1" si="262"/>
        <v>$U$295:$U$296</v>
      </c>
      <c r="X298" s="214" t="str">
        <f t="shared" ca="1" si="263"/>
        <v>$V$295:$V$296</v>
      </c>
      <c r="Y298" s="50"/>
      <c r="Z298" s="50"/>
      <c r="AA298" s="214"/>
      <c r="AB298" s="51"/>
      <c r="AC298" s="51"/>
      <c r="AD298" s="51"/>
      <c r="AE298" s="48"/>
      <c r="AF298" s="48"/>
      <c r="AG298" s="50"/>
      <c r="AH298" s="50"/>
      <c r="AI298" s="51"/>
      <c r="AJ298" s="50"/>
      <c r="AK298" s="55"/>
      <c r="AL298" s="55"/>
      <c r="AM298" s="51"/>
      <c r="AN298" s="51"/>
      <c r="AO298" s="51"/>
      <c r="AP298" s="48"/>
      <c r="AQ298" s="48"/>
      <c r="AR298" s="50"/>
      <c r="AS298" s="50"/>
      <c r="AT298" s="51"/>
      <c r="AU298" s="50"/>
      <c r="AV298" s="55"/>
      <c r="AW298" s="55"/>
      <c r="AX298" s="50"/>
      <c r="AY298" s="51"/>
      <c r="AZ298" s="51"/>
      <c r="BA298" s="48"/>
      <c r="BB298" s="48"/>
      <c r="BC298" s="50"/>
      <c r="BD298" s="50"/>
      <c r="BP298" s="53"/>
      <c r="BQ298" s="52"/>
      <c r="BR298" s="54"/>
      <c r="BS298" s="50"/>
      <c r="BT298" s="55"/>
      <c r="BU298" s="55"/>
      <c r="BV298" s="51"/>
      <c r="BW298" s="51"/>
      <c r="BX298" s="51"/>
      <c r="BY298" s="48"/>
      <c r="BZ298" s="48"/>
      <c r="CA298" s="50"/>
      <c r="CB298" s="52"/>
      <c r="CC298" s="54"/>
      <c r="CD298" s="50"/>
      <c r="CE298" s="55"/>
      <c r="CF298" s="55"/>
      <c r="CG298" s="51"/>
      <c r="CH298" s="51"/>
      <c r="CI298" s="51"/>
      <c r="CJ298" s="48"/>
      <c r="CK298" s="48"/>
      <c r="CL298" s="50"/>
      <c r="CM298" s="52"/>
      <c r="CN298" s="54"/>
      <c r="CO298" s="50"/>
      <c r="CP298" s="55"/>
      <c r="CQ298" s="55"/>
      <c r="CR298" s="51"/>
      <c r="CS298" s="51"/>
      <c r="CT298" s="51"/>
      <c r="CU298" s="48"/>
      <c r="CV298" s="48"/>
      <c r="CW298" s="50"/>
      <c r="CX298" s="50"/>
      <c r="CY298" s="54"/>
      <c r="CZ298" s="50"/>
      <c r="DA298" s="55"/>
      <c r="DB298" s="55"/>
      <c r="DC298" s="50"/>
      <c r="DD298" s="51"/>
      <c r="DE298" s="51"/>
      <c r="DF298" s="48"/>
      <c r="DG298" s="48"/>
      <c r="DH298" s="50"/>
      <c r="DI298" s="52"/>
    </row>
    <row r="299" spans="10:113" x14ac:dyDescent="0.25">
      <c r="J299" s="15">
        <v>5</v>
      </c>
      <c r="K299" s="53">
        <v>24.420462762111352</v>
      </c>
      <c r="L299" s="47">
        <v>3058.2686570130345</v>
      </c>
      <c r="M299" s="54">
        <v>18.444878764216551</v>
      </c>
      <c r="N299" s="50">
        <v>2120.2674171167355</v>
      </c>
      <c r="O299" s="55">
        <f ca="1"/>
        <v>0</v>
      </c>
      <c r="P299" s="50">
        <f t="shared" ca="1" si="258"/>
        <v>2120.2674171167355</v>
      </c>
      <c r="Q299" s="534">
        <f ca="1">IF(O299=1,δ_0*(SLOPE(INDIRECT(VLOOKUP(S299,$S$294:$X$306,5,FALSE)),INDIRECT(VLOOKUP(S299,$S$294:$X$306,6,FALSE)))-SLOPE(INDIRECT(VLOOKUP(S299-1,$S$294:$X$306,5,FALSE)),INDIRECT(VLOOKUP(S299-1,$S$294:$X$306,6,FALSE)))),0)*86400*VLOOKUP($L$291,Aux!$AL$72:$AN$83,3,FALSE)</f>
        <v>0</v>
      </c>
      <c r="R299" s="534">
        <f t="shared" ca="1" si="264"/>
        <v>0</v>
      </c>
      <c r="S299" s="535" cm="1">
        <f t="array" aca="1" ref="S299" ca="1">SUM(IF(ISNUMBER(T$294:T299),1,0))+IF($J299&gt;Capas_VN_C1,1,0)</f>
        <v>3</v>
      </c>
      <c r="T299" s="50">
        <f t="shared" ca="1" si="259"/>
        <v>2120.2674171167355</v>
      </c>
      <c r="U299" s="50" t="e">
        <f t="shared" ca="1" si="260"/>
        <v>#N/A</v>
      </c>
      <c r="V299" s="50" t="e">
        <f t="shared" ca="1" si="261"/>
        <v>#N/A</v>
      </c>
      <c r="W299" s="50" t="str">
        <f t="shared" ca="1" si="262"/>
        <v>$U$296:$U$297</v>
      </c>
      <c r="X299" s="214" t="str">
        <f t="shared" ca="1" si="263"/>
        <v>$V$296:$V$297</v>
      </c>
      <c r="Y299" s="50"/>
      <c r="Z299" s="50"/>
      <c r="AA299" s="214"/>
      <c r="AB299" s="51"/>
      <c r="AC299" s="51"/>
      <c r="AD299" s="51"/>
      <c r="AE299" s="48"/>
      <c r="AF299" s="48"/>
      <c r="AG299" s="50"/>
      <c r="AH299" s="50"/>
      <c r="AI299" s="51"/>
      <c r="AJ299" s="50"/>
      <c r="AK299" s="55"/>
      <c r="AL299" s="55"/>
      <c r="AM299" s="51"/>
      <c r="AN299" s="51"/>
      <c r="AO299" s="51"/>
      <c r="AP299" s="48"/>
      <c r="AQ299" s="48"/>
      <c r="AR299" s="50"/>
      <c r="AS299" s="50"/>
      <c r="AT299" s="51"/>
      <c r="AU299" s="50"/>
      <c r="AV299" s="55"/>
      <c r="AW299" s="55"/>
      <c r="AX299" s="50"/>
      <c r="AY299" s="51"/>
      <c r="AZ299" s="51"/>
      <c r="BA299" s="48"/>
      <c r="BB299" s="48"/>
      <c r="BC299" s="50"/>
      <c r="BD299" s="50"/>
      <c r="BP299" s="53"/>
      <c r="BQ299" s="52"/>
      <c r="BR299" s="54"/>
      <c r="BS299" s="50"/>
      <c r="BT299" s="55"/>
      <c r="BU299" s="55"/>
      <c r="BV299" s="51"/>
      <c r="BW299" s="51"/>
      <c r="BX299" s="51"/>
      <c r="BY299" s="48"/>
      <c r="BZ299" s="48"/>
      <c r="CA299" s="50"/>
      <c r="CB299" s="52"/>
      <c r="CC299" s="54"/>
      <c r="CD299" s="50"/>
      <c r="CE299" s="55"/>
      <c r="CF299" s="55"/>
      <c r="CG299" s="51"/>
      <c r="CH299" s="51"/>
      <c r="CI299" s="51"/>
      <c r="CJ299" s="48"/>
      <c r="CK299" s="48"/>
      <c r="CL299" s="50"/>
      <c r="CM299" s="52"/>
      <c r="CN299" s="54"/>
      <c r="CO299" s="50"/>
      <c r="CP299" s="55"/>
      <c r="CQ299" s="55"/>
      <c r="CR299" s="51"/>
      <c r="CS299" s="51"/>
      <c r="CT299" s="51"/>
      <c r="CU299" s="48"/>
      <c r="CV299" s="48"/>
      <c r="CW299" s="50"/>
      <c r="CX299" s="50"/>
      <c r="CY299" s="54"/>
      <c r="CZ299" s="50"/>
      <c r="DA299" s="55"/>
      <c r="DB299" s="55"/>
      <c r="DC299" s="50"/>
      <c r="DD299" s="51"/>
      <c r="DE299" s="51"/>
      <c r="DF299" s="48"/>
      <c r="DG299" s="48"/>
      <c r="DH299" s="50"/>
      <c r="DI299" s="52"/>
    </row>
    <row r="300" spans="10:113" x14ac:dyDescent="0.25">
      <c r="J300" s="15">
        <v>6</v>
      </c>
      <c r="K300" s="53">
        <v>24.5</v>
      </c>
      <c r="L300" s="47">
        <v>3072.8513291546892</v>
      </c>
      <c r="M300" s="54" t="e">
        <v>#N/A</v>
      </c>
      <c r="N300" s="50" t="e">
        <v>#N/A</v>
      </c>
      <c r="O300" s="55" t="e">
        <f ca="1"/>
        <v>#N/A</v>
      </c>
      <c r="P300" s="50" t="e">
        <f t="shared" ca="1" si="258"/>
        <v>#N/A</v>
      </c>
      <c r="Q300" s="534" t="e">
        <f ca="1">IF(O300=1,δ_0*(SLOPE(INDIRECT(VLOOKUP(S300,$S$294:$X$306,5,FALSE)),INDIRECT(VLOOKUP(S300,$S$294:$X$306,6,FALSE)))-SLOPE(INDIRECT(VLOOKUP(S300-1,$S$294:$X$306,5,FALSE)),INDIRECT(VLOOKUP(S300-1,$S$294:$X$306,6,FALSE)))),0)*86400*VLOOKUP($L$291,Aux!$AL$72:$AN$83,3,FALSE)</f>
        <v>#N/A</v>
      </c>
      <c r="R300" s="534">
        <f t="shared" ca="1" si="264"/>
        <v>0</v>
      </c>
      <c r="S300" s="535" cm="1">
        <f t="array" aca="1" ref="S300" ca="1">SUM(IF(ISNUMBER(T$294:T300),1,0))+IF($J300&gt;Capas_VN_C1,1,0)</f>
        <v>4</v>
      </c>
      <c r="T300" s="50" t="e">
        <f t="shared" ca="1" si="259"/>
        <v>#N/A</v>
      </c>
      <c r="U300" s="50" t="e">
        <f t="shared" ca="1" si="260"/>
        <v>#N/A</v>
      </c>
      <c r="V300" s="50" t="e">
        <f t="shared" ca="1" si="261"/>
        <v>#N/A</v>
      </c>
      <c r="W300" s="50" t="str">
        <f t="shared" ca="1" si="262"/>
        <v>$U$297:$U$298</v>
      </c>
      <c r="X300" s="214" t="str">
        <f t="shared" ca="1" si="263"/>
        <v>$V$297:$V$298</v>
      </c>
      <c r="Y300" s="50"/>
      <c r="Z300" s="50"/>
      <c r="AA300" s="214"/>
      <c r="AB300" s="51"/>
      <c r="AC300" s="51"/>
      <c r="AD300" s="51"/>
      <c r="AE300" s="48"/>
      <c r="AF300" s="48"/>
      <c r="AG300" s="50"/>
      <c r="AH300" s="50"/>
      <c r="AI300" s="51"/>
      <c r="AJ300" s="50"/>
      <c r="AK300" s="55"/>
      <c r="AL300" s="55"/>
      <c r="AM300" s="51"/>
      <c r="AN300" s="51"/>
      <c r="AO300" s="51"/>
      <c r="AP300" s="48"/>
      <c r="AQ300" s="48"/>
      <c r="AR300" s="50"/>
      <c r="AS300" s="50"/>
      <c r="AT300" s="51"/>
      <c r="AU300" s="50"/>
      <c r="AV300" s="55"/>
      <c r="AW300" s="55"/>
      <c r="AX300" s="50"/>
      <c r="AY300" s="51"/>
      <c r="AZ300" s="51"/>
      <c r="BA300" s="48"/>
      <c r="BB300" s="48"/>
      <c r="BC300" s="50"/>
      <c r="BD300" s="50"/>
      <c r="BP300" s="53"/>
      <c r="BQ300" s="52"/>
      <c r="BR300" s="54"/>
      <c r="BS300" s="50"/>
      <c r="BT300" s="55"/>
      <c r="BU300" s="55"/>
      <c r="BV300" s="51"/>
      <c r="BW300" s="51"/>
      <c r="BX300" s="51"/>
      <c r="BY300" s="48"/>
      <c r="BZ300" s="48"/>
      <c r="CA300" s="50"/>
      <c r="CB300" s="52"/>
      <c r="CC300" s="54"/>
      <c r="CD300" s="50"/>
      <c r="CE300" s="55"/>
      <c r="CF300" s="55"/>
      <c r="CG300" s="51"/>
      <c r="CH300" s="51"/>
      <c r="CI300" s="51"/>
      <c r="CJ300" s="48"/>
      <c r="CK300" s="48"/>
      <c r="CL300" s="50"/>
      <c r="CM300" s="52"/>
      <c r="CN300" s="54"/>
      <c r="CO300" s="50"/>
      <c r="CP300" s="55"/>
      <c r="CQ300" s="55"/>
      <c r="CR300" s="51"/>
      <c r="CS300" s="51"/>
      <c r="CT300" s="51"/>
      <c r="CU300" s="48"/>
      <c r="CV300" s="48"/>
      <c r="CW300" s="50"/>
      <c r="CX300" s="50"/>
      <c r="CY300" s="54"/>
      <c r="CZ300" s="50"/>
      <c r="DA300" s="55"/>
      <c r="DB300" s="55"/>
      <c r="DC300" s="50"/>
      <c r="DD300" s="51"/>
      <c r="DE300" s="51"/>
      <c r="DF300" s="48"/>
      <c r="DG300" s="48"/>
      <c r="DH300" s="50"/>
      <c r="DI300" s="52"/>
    </row>
    <row r="301" spans="10:113" x14ac:dyDescent="0.25">
      <c r="J301" s="15">
        <v>7</v>
      </c>
      <c r="K301" s="53" t="e">
        <v>#N/A</v>
      </c>
      <c r="L301" s="47" t="e">
        <v>#N/A</v>
      </c>
      <c r="M301" s="54" t="e">
        <v>#N/A</v>
      </c>
      <c r="N301" s="50" t="e">
        <v>#N/A</v>
      </c>
      <c r="O301" s="55" t="e">
        <f ca="1"/>
        <v>#N/A</v>
      </c>
      <c r="P301" s="50" t="e">
        <f t="shared" ca="1" si="258"/>
        <v>#N/A</v>
      </c>
      <c r="Q301" s="534" t="e">
        <f ca="1">IF(O301=1,δ_0*(SLOPE(INDIRECT(VLOOKUP(S301,$S$294:$X$306,5,FALSE)),INDIRECT(VLOOKUP(S301,$S$294:$X$306,6,FALSE)))-SLOPE(INDIRECT(VLOOKUP(S301-1,$S$294:$X$306,5,FALSE)),INDIRECT(VLOOKUP(S301-1,$S$294:$X$306,6,FALSE)))),0)*86400*VLOOKUP($L$291,Aux!$AL$72:$AN$83,3,FALSE)</f>
        <v>#N/A</v>
      </c>
      <c r="R301" s="534">
        <f t="shared" ca="1" si="264"/>
        <v>0</v>
      </c>
      <c r="S301" s="535" cm="1">
        <f t="array" aca="1" ref="S301" ca="1">SUM(IF(ISNUMBER(T$294:T301),1,0))+IF($J301&gt;Capas_VN_C1,1,0)</f>
        <v>4</v>
      </c>
      <c r="T301" s="50" t="e">
        <f t="shared" ca="1" si="259"/>
        <v>#N/A</v>
      </c>
      <c r="U301" s="50" t="e">
        <f t="shared" ca="1" si="260"/>
        <v>#N/A</v>
      </c>
      <c r="V301" s="50" t="e">
        <f t="shared" ca="1" si="261"/>
        <v>#N/A</v>
      </c>
      <c r="W301" s="50" t="str">
        <f t="shared" ca="1" si="262"/>
        <v>$U$297:$U$298</v>
      </c>
      <c r="X301" s="214" t="str">
        <f t="shared" ca="1" si="263"/>
        <v>$V$297:$V$298</v>
      </c>
      <c r="Y301" s="50"/>
      <c r="Z301" s="50"/>
      <c r="AA301" s="214"/>
      <c r="AB301" s="51"/>
      <c r="AC301" s="51"/>
      <c r="AD301" s="51"/>
      <c r="AE301" s="48"/>
      <c r="AF301" s="48"/>
      <c r="AG301" s="50"/>
      <c r="AH301" s="50"/>
      <c r="AI301" s="51"/>
      <c r="AJ301" s="50"/>
      <c r="AK301" s="55"/>
      <c r="AL301" s="55"/>
      <c r="AM301" s="51"/>
      <c r="AN301" s="51"/>
      <c r="AO301" s="51"/>
      <c r="AP301" s="48"/>
      <c r="AQ301" s="48"/>
      <c r="AR301" s="50"/>
      <c r="AS301" s="50"/>
      <c r="AT301" s="51"/>
      <c r="AU301" s="50"/>
      <c r="AV301" s="55"/>
      <c r="AW301" s="55"/>
      <c r="AX301" s="50"/>
      <c r="AY301" s="51"/>
      <c r="AZ301" s="51"/>
      <c r="BA301" s="48"/>
      <c r="BB301" s="48"/>
      <c r="BC301" s="50"/>
      <c r="BD301" s="50"/>
      <c r="BP301" s="53"/>
      <c r="BQ301" s="52"/>
      <c r="BR301" s="54"/>
      <c r="BS301" s="50"/>
      <c r="BT301" s="55"/>
      <c r="BU301" s="55"/>
      <c r="BV301" s="51"/>
      <c r="BW301" s="51"/>
      <c r="BX301" s="51"/>
      <c r="BY301" s="48"/>
      <c r="BZ301" s="48"/>
      <c r="CA301" s="50"/>
      <c r="CB301" s="52"/>
      <c r="CC301" s="54"/>
      <c r="CD301" s="50"/>
      <c r="CE301" s="55"/>
      <c r="CF301" s="55"/>
      <c r="CG301" s="51"/>
      <c r="CH301" s="51"/>
      <c r="CI301" s="51"/>
      <c r="CJ301" s="48"/>
      <c r="CK301" s="48"/>
      <c r="CL301" s="50"/>
      <c r="CM301" s="52"/>
      <c r="CN301" s="54"/>
      <c r="CO301" s="50"/>
      <c r="CP301" s="55"/>
      <c r="CQ301" s="55"/>
      <c r="CR301" s="51"/>
      <c r="CS301" s="51"/>
      <c r="CT301" s="51"/>
      <c r="CU301" s="48"/>
      <c r="CV301" s="48"/>
      <c r="CW301" s="50"/>
      <c r="CX301" s="50"/>
      <c r="CY301" s="54"/>
      <c r="CZ301" s="50"/>
      <c r="DA301" s="55"/>
      <c r="DB301" s="55"/>
      <c r="DC301" s="50"/>
      <c r="DD301" s="51"/>
      <c r="DE301" s="51"/>
      <c r="DF301" s="48"/>
      <c r="DG301" s="48"/>
      <c r="DH301" s="50"/>
      <c r="DI301" s="52"/>
    </row>
    <row r="302" spans="10:113" x14ac:dyDescent="0.25">
      <c r="J302" s="15">
        <v>8</v>
      </c>
      <c r="K302" s="53" t="e">
        <v>#N/A</v>
      </c>
      <c r="L302" s="47" t="e">
        <v>#N/A</v>
      </c>
      <c r="M302" s="54" t="e">
        <v>#N/A</v>
      </c>
      <c r="N302" s="50" t="e">
        <v>#N/A</v>
      </c>
      <c r="O302" s="55" t="e">
        <f ca="1"/>
        <v>#N/A</v>
      </c>
      <c r="P302" s="50" t="e">
        <f t="shared" ca="1" si="258"/>
        <v>#N/A</v>
      </c>
      <c r="Q302" s="534" t="e">
        <f ca="1">IF(O302=1,δ_0*(SLOPE(INDIRECT(VLOOKUP(S302,$S$294:$X$306,5,FALSE)),INDIRECT(VLOOKUP(S302,$S$294:$X$306,6,FALSE)))-SLOPE(INDIRECT(VLOOKUP(S302-1,$S$294:$X$306,5,FALSE)),INDIRECT(VLOOKUP(S302-1,$S$294:$X$306,6,FALSE)))),0)*86400*VLOOKUP($L$291,Aux!$AL$72:$AN$83,3,FALSE)</f>
        <v>#N/A</v>
      </c>
      <c r="R302" s="534">
        <f t="shared" ca="1" si="264"/>
        <v>0</v>
      </c>
      <c r="S302" s="535" cm="1">
        <f t="array" aca="1" ref="S302" ca="1">SUM(IF(ISNUMBER(T$294:T302),1,0))+IF($J302&gt;Capas_VN_C1,1,0)</f>
        <v>4</v>
      </c>
      <c r="T302" s="50" t="e">
        <f t="shared" ca="1" si="259"/>
        <v>#N/A</v>
      </c>
      <c r="U302" s="50" t="e">
        <f t="shared" ca="1" si="260"/>
        <v>#N/A</v>
      </c>
      <c r="V302" s="50" t="e">
        <f t="shared" ca="1" si="261"/>
        <v>#N/A</v>
      </c>
      <c r="W302" s="50" t="str">
        <f t="shared" ca="1" si="262"/>
        <v>$U$297:$U$298</v>
      </c>
      <c r="X302" s="214" t="str">
        <f t="shared" ca="1" si="263"/>
        <v>$V$297:$V$298</v>
      </c>
      <c r="Y302" s="50"/>
      <c r="Z302" s="50"/>
      <c r="AA302" s="214"/>
      <c r="AB302" s="51"/>
      <c r="AC302" s="51"/>
      <c r="AD302" s="51"/>
      <c r="AE302" s="48"/>
      <c r="AF302" s="48"/>
      <c r="AG302" s="50"/>
      <c r="AH302" s="50"/>
      <c r="AI302" s="51"/>
      <c r="AJ302" s="50"/>
      <c r="AK302" s="55"/>
      <c r="AL302" s="55"/>
      <c r="AM302" s="51"/>
      <c r="AN302" s="51"/>
      <c r="AO302" s="51"/>
      <c r="AP302" s="48"/>
      <c r="AQ302" s="48"/>
      <c r="AR302" s="50"/>
      <c r="AS302" s="50"/>
      <c r="AT302" s="51"/>
      <c r="AU302" s="50"/>
      <c r="AV302" s="55"/>
      <c r="AW302" s="55"/>
      <c r="AX302" s="50"/>
      <c r="AY302" s="51"/>
      <c r="AZ302" s="51"/>
      <c r="BA302" s="48"/>
      <c r="BB302" s="48"/>
      <c r="BC302" s="50"/>
      <c r="BD302" s="50"/>
      <c r="BP302" s="53"/>
      <c r="BQ302" s="52"/>
      <c r="BR302" s="54"/>
      <c r="BS302" s="50"/>
      <c r="BT302" s="55"/>
      <c r="BU302" s="55"/>
      <c r="BV302" s="51"/>
      <c r="BW302" s="51"/>
      <c r="BX302" s="51"/>
      <c r="BY302" s="48"/>
      <c r="BZ302" s="48"/>
      <c r="CA302" s="50"/>
      <c r="CB302" s="52"/>
      <c r="CC302" s="54"/>
      <c r="CD302" s="50"/>
      <c r="CE302" s="55"/>
      <c r="CF302" s="55"/>
      <c r="CG302" s="51"/>
      <c r="CH302" s="51"/>
      <c r="CI302" s="51"/>
      <c r="CJ302" s="48"/>
      <c r="CK302" s="48"/>
      <c r="CL302" s="50"/>
      <c r="CM302" s="52"/>
      <c r="CN302" s="54"/>
      <c r="CO302" s="50"/>
      <c r="CP302" s="55"/>
      <c r="CQ302" s="55"/>
      <c r="CR302" s="51"/>
      <c r="CS302" s="51"/>
      <c r="CT302" s="51"/>
      <c r="CU302" s="48"/>
      <c r="CV302" s="48"/>
      <c r="CW302" s="50"/>
      <c r="CX302" s="50"/>
      <c r="CY302" s="54"/>
      <c r="CZ302" s="50"/>
      <c r="DA302" s="55"/>
      <c r="DB302" s="55"/>
      <c r="DC302" s="50"/>
      <c r="DD302" s="51"/>
      <c r="DE302" s="51"/>
      <c r="DF302" s="48"/>
      <c r="DG302" s="48"/>
      <c r="DH302" s="50"/>
      <c r="DI302" s="52"/>
    </row>
    <row r="303" spans="10:113" x14ac:dyDescent="0.25">
      <c r="J303" s="15">
        <v>9</v>
      </c>
      <c r="K303" s="53" t="e">
        <v>#N/A</v>
      </c>
      <c r="L303" s="47" t="e">
        <v>#N/A</v>
      </c>
      <c r="M303" s="54" t="e">
        <v>#N/A</v>
      </c>
      <c r="N303" s="50" t="e">
        <v>#N/A</v>
      </c>
      <c r="O303" s="55" t="e">
        <f ca="1"/>
        <v>#N/A</v>
      </c>
      <c r="P303" s="50" t="e">
        <f t="shared" ca="1" si="258"/>
        <v>#N/A</v>
      </c>
      <c r="Q303" s="534" t="e">
        <f ca="1">IF(O303=1,δ_0*(SLOPE(INDIRECT(VLOOKUP(S303,$S$294:$X$306,5,FALSE)),INDIRECT(VLOOKUP(S303,$S$294:$X$306,6,FALSE)))-SLOPE(INDIRECT(VLOOKUP(S303-1,$S$294:$X$306,5,FALSE)),INDIRECT(VLOOKUP(S303-1,$S$294:$X$306,6,FALSE)))),0)*86400*VLOOKUP($L$291,Aux!$AL$72:$AN$83,3,FALSE)</f>
        <v>#N/A</v>
      </c>
      <c r="R303" s="534">
        <f t="shared" ca="1" si="264"/>
        <v>0</v>
      </c>
      <c r="S303" s="535" cm="1">
        <f t="array" aca="1" ref="S303" ca="1">SUM(IF(ISNUMBER(T$294:T303),1,0))+IF($J303&gt;Capas_VN_C1,1,0)</f>
        <v>4</v>
      </c>
      <c r="T303" s="50" t="e">
        <f t="shared" ca="1" si="259"/>
        <v>#N/A</v>
      </c>
      <c r="U303" s="50" t="e">
        <f t="shared" ca="1" si="260"/>
        <v>#N/A</v>
      </c>
      <c r="V303" s="50" t="e">
        <f t="shared" ca="1" si="261"/>
        <v>#N/A</v>
      </c>
      <c r="W303" s="50" t="str">
        <f t="shared" ca="1" si="262"/>
        <v>$U$297:$U$298</v>
      </c>
      <c r="X303" s="214" t="str">
        <f t="shared" ca="1" si="263"/>
        <v>$V$297:$V$298</v>
      </c>
      <c r="Y303" s="50"/>
      <c r="Z303" s="50"/>
      <c r="AA303" s="214"/>
      <c r="AB303" s="51"/>
      <c r="AC303" s="51"/>
      <c r="AD303" s="51"/>
      <c r="AE303" s="48"/>
      <c r="AF303" s="48"/>
      <c r="AG303" s="50"/>
      <c r="AH303" s="50"/>
      <c r="AI303" s="51"/>
      <c r="AJ303" s="50"/>
      <c r="AK303" s="55"/>
      <c r="AL303" s="55"/>
      <c r="AM303" s="51"/>
      <c r="AN303" s="51"/>
      <c r="AO303" s="51"/>
      <c r="AP303" s="48"/>
      <c r="AQ303" s="48"/>
      <c r="AR303" s="50"/>
      <c r="AS303" s="50"/>
      <c r="AT303" s="51"/>
      <c r="AU303" s="50"/>
      <c r="AV303" s="55"/>
      <c r="AW303" s="55"/>
      <c r="AX303" s="50"/>
      <c r="AY303" s="51"/>
      <c r="AZ303" s="51"/>
      <c r="BA303" s="48"/>
      <c r="BB303" s="48"/>
      <c r="BC303" s="50"/>
      <c r="BD303" s="50"/>
      <c r="BP303" s="53"/>
      <c r="BQ303" s="52"/>
      <c r="BR303" s="54"/>
      <c r="BS303" s="50"/>
      <c r="BT303" s="55"/>
      <c r="BU303" s="55"/>
      <c r="BV303" s="51"/>
      <c r="BW303" s="51"/>
      <c r="BX303" s="51"/>
      <c r="BY303" s="48"/>
      <c r="BZ303" s="48"/>
      <c r="CA303" s="50"/>
      <c r="CB303" s="52"/>
      <c r="CC303" s="54"/>
      <c r="CD303" s="50"/>
      <c r="CE303" s="55"/>
      <c r="CF303" s="55"/>
      <c r="CG303" s="51"/>
      <c r="CH303" s="51"/>
      <c r="CI303" s="51"/>
      <c r="CJ303" s="48"/>
      <c r="CK303" s="48"/>
      <c r="CL303" s="50"/>
      <c r="CM303" s="52"/>
      <c r="CN303" s="54"/>
      <c r="CO303" s="50"/>
      <c r="CP303" s="55"/>
      <c r="CQ303" s="55"/>
      <c r="CR303" s="51"/>
      <c r="CS303" s="51"/>
      <c r="CT303" s="51"/>
      <c r="CU303" s="48"/>
      <c r="CV303" s="48"/>
      <c r="CW303" s="50"/>
      <c r="CX303" s="50"/>
      <c r="CY303" s="54"/>
      <c r="CZ303" s="50"/>
      <c r="DA303" s="55"/>
      <c r="DB303" s="55"/>
      <c r="DC303" s="50"/>
      <c r="DD303" s="51"/>
      <c r="DE303" s="51"/>
      <c r="DF303" s="48"/>
      <c r="DG303" s="48"/>
      <c r="DH303" s="50"/>
      <c r="DI303" s="52"/>
    </row>
    <row r="304" spans="10:113" x14ac:dyDescent="0.25">
      <c r="J304" s="15">
        <v>10</v>
      </c>
      <c r="K304" s="53" t="e">
        <v>#N/A</v>
      </c>
      <c r="L304" s="47" t="e">
        <v>#N/A</v>
      </c>
      <c r="M304" s="54" t="e">
        <v>#N/A</v>
      </c>
      <c r="N304" s="50" t="e">
        <v>#N/A</v>
      </c>
      <c r="O304" s="55" t="e">
        <f ca="1"/>
        <v>#N/A</v>
      </c>
      <c r="P304" s="50" t="e">
        <f t="shared" ca="1" si="258"/>
        <v>#N/A</v>
      </c>
      <c r="Q304" s="534" t="e">
        <f ca="1">IF(O304=1,δ_0*(SLOPE(INDIRECT(VLOOKUP(S304,$S$294:$X$306,5,FALSE)),INDIRECT(VLOOKUP(S304,$S$294:$X$306,6,FALSE)))-SLOPE(INDIRECT(VLOOKUP(S304-1,$S$294:$X$306,5,FALSE)),INDIRECT(VLOOKUP(S304-1,$S$294:$X$306,6,FALSE)))),0)*86400*VLOOKUP($L$291,Aux!$AL$72:$AN$83,3,FALSE)</f>
        <v>#N/A</v>
      </c>
      <c r="R304" s="534">
        <f t="shared" ca="1" si="264"/>
        <v>0</v>
      </c>
      <c r="S304" s="535" cm="1">
        <f t="array" aca="1" ref="S304" ca="1">SUM(IF(ISNUMBER(T$294:T304),1,0))+IF($J304&gt;Capas_VN_C1,1,0)</f>
        <v>4</v>
      </c>
      <c r="T304" s="50" t="e">
        <f t="shared" ca="1" si="259"/>
        <v>#N/A</v>
      </c>
      <c r="U304" s="50" t="e">
        <f t="shared" ca="1" si="260"/>
        <v>#N/A</v>
      </c>
      <c r="V304" s="50" t="e">
        <f t="shared" ca="1" si="261"/>
        <v>#N/A</v>
      </c>
      <c r="W304" s="50" t="str">
        <f t="shared" ca="1" si="262"/>
        <v>$U$297:$U$298</v>
      </c>
      <c r="X304" s="214" t="str">
        <f t="shared" ca="1" si="263"/>
        <v>$V$297:$V$298</v>
      </c>
      <c r="Y304" s="50"/>
      <c r="Z304" s="50"/>
      <c r="AA304" s="214"/>
      <c r="AB304" s="51"/>
      <c r="AC304" s="51"/>
      <c r="AD304" s="51"/>
      <c r="AE304" s="48"/>
      <c r="AF304" s="48"/>
      <c r="AG304" s="50"/>
      <c r="AH304" s="50"/>
      <c r="AI304" s="51"/>
      <c r="AJ304" s="50"/>
      <c r="AK304" s="55"/>
      <c r="AL304" s="55"/>
      <c r="AM304" s="51"/>
      <c r="AN304" s="51"/>
      <c r="AO304" s="51"/>
      <c r="AP304" s="48"/>
      <c r="AQ304" s="48"/>
      <c r="AR304" s="50"/>
      <c r="AS304" s="50"/>
      <c r="AT304" s="51"/>
      <c r="AU304" s="50"/>
      <c r="AV304" s="55"/>
      <c r="AW304" s="55"/>
      <c r="AX304" s="50"/>
      <c r="AY304" s="51"/>
      <c r="AZ304" s="51"/>
      <c r="BA304" s="48"/>
      <c r="BB304" s="48"/>
      <c r="BC304" s="50"/>
      <c r="BD304" s="50"/>
      <c r="BP304" s="53"/>
      <c r="BQ304" s="52"/>
      <c r="BR304" s="54"/>
      <c r="BS304" s="50"/>
      <c r="BT304" s="55"/>
      <c r="BU304" s="55"/>
      <c r="BV304" s="51"/>
      <c r="BW304" s="51"/>
      <c r="BX304" s="51"/>
      <c r="BY304" s="48"/>
      <c r="BZ304" s="48"/>
      <c r="CA304" s="50"/>
      <c r="CB304" s="52"/>
      <c r="CC304" s="54"/>
      <c r="CD304" s="50"/>
      <c r="CE304" s="55"/>
      <c r="CF304" s="55"/>
      <c r="CG304" s="51"/>
      <c r="CH304" s="51"/>
      <c r="CI304" s="51"/>
      <c r="CJ304" s="48"/>
      <c r="CK304" s="48"/>
      <c r="CL304" s="50"/>
      <c r="CM304" s="52"/>
      <c r="CN304" s="54"/>
      <c r="CO304" s="50"/>
      <c r="CP304" s="55"/>
      <c r="CQ304" s="55"/>
      <c r="CR304" s="51"/>
      <c r="CS304" s="51"/>
      <c r="CT304" s="51"/>
      <c r="CU304" s="48"/>
      <c r="CV304" s="48"/>
      <c r="CW304" s="50"/>
      <c r="CX304" s="50"/>
      <c r="CY304" s="54"/>
      <c r="CZ304" s="50"/>
      <c r="DA304" s="55"/>
      <c r="DB304" s="55"/>
      <c r="DC304" s="50"/>
      <c r="DD304" s="51"/>
      <c r="DE304" s="51"/>
      <c r="DF304" s="48"/>
      <c r="DG304" s="48"/>
      <c r="DH304" s="50"/>
      <c r="DI304" s="52"/>
    </row>
    <row r="305" spans="10:113" x14ac:dyDescent="0.25">
      <c r="J305" s="15">
        <v>11</v>
      </c>
      <c r="K305" s="53" t="e">
        <v>#N/A</v>
      </c>
      <c r="L305" s="47" t="e">
        <v>#N/A</v>
      </c>
      <c r="M305" s="54" t="e">
        <v>#N/A</v>
      </c>
      <c r="N305" s="50" t="e">
        <v>#N/A</v>
      </c>
      <c r="O305" s="55" t="e">
        <f ca="1"/>
        <v>#N/A</v>
      </c>
      <c r="P305" s="50" t="e">
        <f t="shared" ca="1" si="258"/>
        <v>#N/A</v>
      </c>
      <c r="Q305" s="534" t="e">
        <f ca="1">IF(O305=1,δ_0*(SLOPE(INDIRECT(VLOOKUP(S305,$S$294:$X$306,5,FALSE)),INDIRECT(VLOOKUP(S305,$S$294:$X$306,6,FALSE)))-SLOPE(INDIRECT(VLOOKUP(S305-1,$S$294:$X$306,5,FALSE)),INDIRECT(VLOOKUP(S305-1,$S$294:$X$306,6,FALSE)))),0)*86400*VLOOKUP($L$291,Aux!$AL$72:$AN$83,3,FALSE)</f>
        <v>#N/A</v>
      </c>
      <c r="R305" s="534">
        <f t="shared" ca="1" si="264"/>
        <v>0</v>
      </c>
      <c r="S305" s="535" cm="1">
        <f t="array" aca="1" ref="S305" ca="1">SUM(IF(ISNUMBER(T$294:T305),1,0))+IF($J305&gt;Capas_VN_C1,1,0)</f>
        <v>4</v>
      </c>
      <c r="T305" s="50" t="e">
        <f t="shared" ca="1" si="259"/>
        <v>#N/A</v>
      </c>
      <c r="U305" s="50" t="e">
        <f t="shared" ca="1" si="260"/>
        <v>#N/A</v>
      </c>
      <c r="V305" s="50" t="e">
        <f t="shared" ca="1" si="261"/>
        <v>#N/A</v>
      </c>
      <c r="W305" s="50" t="str">
        <f t="shared" ca="1" si="262"/>
        <v>$U$297:$U$298</v>
      </c>
      <c r="X305" s="214" t="str">
        <f t="shared" ca="1" si="263"/>
        <v>$V$297:$V$298</v>
      </c>
      <c r="Y305" s="50"/>
      <c r="Z305" s="50"/>
      <c r="AA305" s="214"/>
      <c r="AB305" s="51"/>
      <c r="AC305" s="51"/>
      <c r="AD305" s="51"/>
      <c r="AE305" s="48"/>
      <c r="AF305" s="48"/>
      <c r="AG305" s="50"/>
      <c r="AH305" s="50"/>
      <c r="AI305" s="51"/>
      <c r="AJ305" s="50"/>
      <c r="AK305" s="55"/>
      <c r="AL305" s="55"/>
      <c r="AM305" s="51"/>
      <c r="AN305" s="51"/>
      <c r="AO305" s="51"/>
      <c r="AP305" s="48"/>
      <c r="AQ305" s="48"/>
      <c r="AR305" s="50"/>
      <c r="AS305" s="50"/>
      <c r="AT305" s="51"/>
      <c r="AU305" s="50"/>
      <c r="AV305" s="55"/>
      <c r="AW305" s="55"/>
      <c r="AX305" s="50"/>
      <c r="AY305" s="51"/>
      <c r="AZ305" s="51"/>
      <c r="BA305" s="48"/>
      <c r="BB305" s="48"/>
      <c r="BC305" s="50"/>
      <c r="BD305" s="50"/>
      <c r="BP305" s="53"/>
      <c r="BQ305" s="52"/>
      <c r="BR305" s="54"/>
      <c r="BS305" s="50"/>
      <c r="BT305" s="55"/>
      <c r="BU305" s="55"/>
      <c r="BV305" s="51"/>
      <c r="BW305" s="51"/>
      <c r="BX305" s="51"/>
      <c r="BY305" s="48"/>
      <c r="BZ305" s="48"/>
      <c r="CA305" s="50"/>
      <c r="CB305" s="52"/>
      <c r="CC305" s="54"/>
      <c r="CD305" s="50"/>
      <c r="CE305" s="55"/>
      <c r="CF305" s="55"/>
      <c r="CG305" s="51"/>
      <c r="CH305" s="51"/>
      <c r="CI305" s="51"/>
      <c r="CJ305" s="48"/>
      <c r="CK305" s="48"/>
      <c r="CL305" s="50"/>
      <c r="CM305" s="52"/>
      <c r="CN305" s="54"/>
      <c r="CO305" s="50"/>
      <c r="CP305" s="55"/>
      <c r="CQ305" s="55"/>
      <c r="CR305" s="51"/>
      <c r="CS305" s="51"/>
      <c r="CT305" s="51"/>
      <c r="CU305" s="48"/>
      <c r="CV305" s="48"/>
      <c r="CW305" s="50"/>
      <c r="CX305" s="50"/>
      <c r="CY305" s="54"/>
      <c r="CZ305" s="50"/>
      <c r="DA305" s="55"/>
      <c r="DB305" s="55"/>
      <c r="DC305" s="50"/>
      <c r="DD305" s="51"/>
      <c r="DE305" s="51"/>
      <c r="DF305" s="48"/>
      <c r="DG305" s="48"/>
      <c r="DH305" s="50"/>
      <c r="DI305" s="52"/>
    </row>
    <row r="306" spans="10:113" x14ac:dyDescent="0.25">
      <c r="J306" s="517">
        <v>12</v>
      </c>
      <c r="K306" s="53" t="e">
        <v>#N/A</v>
      </c>
      <c r="L306" s="47" t="e">
        <v>#N/A</v>
      </c>
      <c r="M306" s="54" t="e">
        <v>#N/A</v>
      </c>
      <c r="N306" s="50" t="e">
        <v>#N/A</v>
      </c>
      <c r="O306" s="55" t="e">
        <f ca="1"/>
        <v>#N/A</v>
      </c>
      <c r="P306" s="50" t="e">
        <f t="shared" ca="1" si="258"/>
        <v>#N/A</v>
      </c>
      <c r="Q306" s="534" t="e">
        <f ca="1">IF(O306=1,δ_0*(SLOPE(INDIRECT(VLOOKUP(S306,$S$294:$X$306,5,FALSE)),INDIRECT(VLOOKUP(S306,$S$294:$X$306,6,FALSE)))-SLOPE(INDIRECT(VLOOKUP(S306-1,$S$294:$X$306,5,FALSE)),INDIRECT(VLOOKUP(S306-1,$S$294:$X$306,6,FALSE)))),0)*86400*VLOOKUP($L$291,Aux!$AL$72:$AN$83,3,FALSE)</f>
        <v>#N/A</v>
      </c>
      <c r="R306" s="534">
        <f t="shared" ca="1" si="264"/>
        <v>0</v>
      </c>
      <c r="S306" s="535" cm="1">
        <f t="array" aca="1" ref="S306" ca="1">SUM(IF(ISNUMBER(T$294:T306),1,0))+IF($J306&gt;Capas_VN_C1,1,0)</f>
        <v>4</v>
      </c>
      <c r="T306" s="50" t="e">
        <f t="shared" ca="1" si="259"/>
        <v>#N/A</v>
      </c>
      <c r="U306" s="50" t="e">
        <f t="shared" ca="1" si="260"/>
        <v>#N/A</v>
      </c>
      <c r="V306" s="50" t="e">
        <f t="shared" ca="1" si="261"/>
        <v>#N/A</v>
      </c>
      <c r="W306" s="50" t="str">
        <f t="shared" ca="1" si="262"/>
        <v>$U$297:$U$298</v>
      </c>
      <c r="X306" s="214" t="str">
        <f t="shared" ca="1" si="263"/>
        <v>$V$297:$V$298</v>
      </c>
      <c r="Y306" s="50"/>
      <c r="Z306" s="50"/>
      <c r="AA306" s="214"/>
      <c r="AB306" s="51"/>
      <c r="AC306" s="51"/>
      <c r="AD306" s="51"/>
      <c r="AE306" s="48"/>
      <c r="AF306" s="48"/>
      <c r="AG306" s="50"/>
      <c r="AH306" s="50"/>
      <c r="AI306" s="51"/>
      <c r="AJ306" s="50"/>
      <c r="AK306" s="55"/>
      <c r="AL306" s="55"/>
      <c r="AM306" s="51"/>
      <c r="AN306" s="51"/>
      <c r="AO306" s="51"/>
      <c r="AP306" s="48"/>
      <c r="AQ306" s="48"/>
      <c r="AR306" s="50"/>
      <c r="AS306" s="50"/>
      <c r="AT306" s="51"/>
      <c r="AU306" s="50"/>
      <c r="AV306" s="55"/>
      <c r="AW306" s="55"/>
      <c r="AX306" s="50"/>
      <c r="AY306" s="51"/>
      <c r="AZ306" s="51"/>
      <c r="BA306" s="48"/>
      <c r="BB306" s="48"/>
      <c r="BC306" s="50"/>
      <c r="BD306" s="50"/>
      <c r="BP306" s="53"/>
      <c r="BQ306" s="52"/>
      <c r="BR306" s="54"/>
      <c r="BS306" s="50"/>
      <c r="BT306" s="55"/>
      <c r="BU306" s="55"/>
      <c r="BV306" s="51"/>
      <c r="BW306" s="51"/>
      <c r="BX306" s="51"/>
      <c r="BY306" s="48"/>
      <c r="BZ306" s="48"/>
      <c r="CA306" s="50"/>
      <c r="CB306" s="52"/>
      <c r="CC306" s="54"/>
      <c r="CD306" s="50"/>
      <c r="CE306" s="55"/>
      <c r="CF306" s="55"/>
      <c r="CG306" s="51"/>
      <c r="CH306" s="51"/>
      <c r="CI306" s="51"/>
      <c r="CJ306" s="48"/>
      <c r="CK306" s="48"/>
      <c r="CL306" s="50"/>
      <c r="CM306" s="52"/>
      <c r="CN306" s="54"/>
      <c r="CO306" s="50"/>
      <c r="CP306" s="55"/>
      <c r="CQ306" s="55"/>
      <c r="CR306" s="51"/>
      <c r="CS306" s="51"/>
      <c r="CT306" s="51"/>
      <c r="CU306" s="48"/>
      <c r="CV306" s="48"/>
      <c r="CW306" s="50"/>
      <c r="CX306" s="50"/>
      <c r="CY306" s="54"/>
      <c r="CZ306" s="50"/>
      <c r="DA306" s="55"/>
      <c r="DB306" s="55"/>
      <c r="DC306" s="50"/>
      <c r="DD306" s="51"/>
      <c r="DE306" s="51"/>
      <c r="DF306" s="48"/>
      <c r="DG306" s="48"/>
      <c r="DH306" s="50"/>
      <c r="DI306" s="52"/>
    </row>
    <row r="307" spans="10:113" ht="15.75" thickBot="1" x14ac:dyDescent="0.3">
      <c r="J307" s="517"/>
      <c r="K307" s="53"/>
      <c r="L307" s="52"/>
      <c r="M307" s="62"/>
      <c r="N307" s="65"/>
      <c r="O307" s="65"/>
      <c r="P307" s="58"/>
      <c r="Q307" s="65"/>
      <c r="R307" s="65"/>
      <c r="S307" s="62"/>
      <c r="T307" s="65"/>
      <c r="U307" s="65"/>
      <c r="V307" s="65"/>
      <c r="W307" s="65"/>
      <c r="X307" s="61"/>
      <c r="Y307" s="65"/>
      <c r="Z307" s="65"/>
      <c r="AA307" s="61"/>
      <c r="AB307" s="51"/>
      <c r="AC307" s="51"/>
      <c r="AD307" s="51"/>
      <c r="AE307" s="48"/>
      <c r="AF307" s="48"/>
      <c r="AG307" s="50"/>
      <c r="AH307" s="50"/>
      <c r="AI307" s="51"/>
      <c r="AJ307" s="50"/>
      <c r="AK307" s="55"/>
      <c r="AL307" s="55"/>
      <c r="AM307" s="51"/>
      <c r="AN307" s="51"/>
      <c r="AO307" s="51"/>
      <c r="AP307" s="48"/>
      <c r="AQ307" s="48"/>
      <c r="AR307" s="50"/>
      <c r="AS307" s="50"/>
      <c r="AT307" s="51"/>
      <c r="AU307" s="50"/>
      <c r="AV307" s="55"/>
      <c r="AW307" s="55"/>
      <c r="AX307" s="50"/>
      <c r="AY307" s="51"/>
      <c r="AZ307" s="51"/>
      <c r="BA307" s="48"/>
      <c r="BB307" s="48"/>
      <c r="BC307" s="50"/>
      <c r="BD307" s="50"/>
      <c r="BP307" s="53"/>
      <c r="BQ307" s="52"/>
      <c r="BR307" s="54"/>
      <c r="BS307" s="50"/>
      <c r="BT307" s="55"/>
      <c r="BU307" s="55"/>
      <c r="BV307" s="51"/>
      <c r="BW307" s="51"/>
      <c r="BX307" s="51"/>
      <c r="BY307" s="48"/>
      <c r="BZ307" s="48"/>
      <c r="CA307" s="50"/>
      <c r="CB307" s="52"/>
      <c r="CC307" s="54"/>
      <c r="CD307" s="50"/>
      <c r="CE307" s="55"/>
      <c r="CF307" s="55"/>
      <c r="CG307" s="51"/>
      <c r="CH307" s="51"/>
      <c r="CI307" s="51"/>
      <c r="CJ307" s="48"/>
      <c r="CK307" s="48"/>
      <c r="CL307" s="50"/>
      <c r="CM307" s="52"/>
      <c r="CN307" s="54"/>
      <c r="CO307" s="50"/>
      <c r="CP307" s="55"/>
      <c r="CQ307" s="55"/>
      <c r="CR307" s="51"/>
      <c r="CS307" s="51"/>
      <c r="CT307" s="51"/>
      <c r="CU307" s="48"/>
      <c r="CV307" s="48"/>
      <c r="CW307" s="50"/>
      <c r="CX307" s="50"/>
      <c r="CY307" s="54"/>
      <c r="CZ307" s="50"/>
      <c r="DA307" s="55"/>
      <c r="DB307" s="55"/>
      <c r="DC307" s="50"/>
      <c r="DD307" s="51"/>
      <c r="DE307" s="51"/>
      <c r="DF307" s="48"/>
      <c r="DG307" s="48"/>
      <c r="DH307" s="50"/>
      <c r="DI307" s="52"/>
    </row>
    <row r="308" spans="10:113" ht="15.75" thickBot="1" x14ac:dyDescent="0.3">
      <c r="K308" s="68" t="s">
        <v>145</v>
      </c>
      <c r="L308" s="505">
        <v>19</v>
      </c>
      <c r="M308" s="506" t="s">
        <v>275</v>
      </c>
      <c r="N308" s="507">
        <v>24.5</v>
      </c>
      <c r="O308" s="36" t="s">
        <v>735</v>
      </c>
      <c r="P308" s="513">
        <v>473.15398469256661</v>
      </c>
      <c r="Y308" s="50"/>
      <c r="Z308" s="50"/>
      <c r="AA308" s="55"/>
      <c r="AI308" s="50"/>
      <c r="AK308" s="50"/>
      <c r="AL308" s="55"/>
      <c r="AT308" s="50"/>
      <c r="BP308" s="62"/>
      <c r="BQ308" s="63"/>
      <c r="BR308" s="62"/>
      <c r="BS308" s="65"/>
      <c r="BT308" s="64"/>
      <c r="BU308" s="58"/>
      <c r="BV308" s="58"/>
      <c r="BW308" s="58"/>
      <c r="BX308" s="58"/>
      <c r="BY308" s="58"/>
      <c r="BZ308" s="58"/>
      <c r="CA308" s="58"/>
      <c r="CB308" s="61"/>
      <c r="CC308" s="62"/>
      <c r="CD308" s="65"/>
      <c r="CE308" s="64"/>
      <c r="CF308" s="58"/>
      <c r="CG308" s="58"/>
      <c r="CH308" s="58"/>
      <c r="CI308" s="58"/>
      <c r="CJ308" s="58"/>
      <c r="CK308" s="58"/>
      <c r="CL308" s="58"/>
      <c r="CM308" s="61"/>
      <c r="CN308" s="62"/>
      <c r="CO308" s="58"/>
      <c r="CP308" s="65"/>
      <c r="CQ308" s="64"/>
      <c r="CR308" s="58"/>
      <c r="CS308" s="58"/>
      <c r="CT308" s="58"/>
      <c r="CU308" s="58"/>
      <c r="CV308" s="58"/>
      <c r="CW308" s="58"/>
      <c r="CX308" s="58"/>
      <c r="CY308" s="62"/>
      <c r="CZ308" s="58"/>
      <c r="DA308" s="58"/>
      <c r="DB308" s="58"/>
      <c r="DC308" s="58"/>
      <c r="DD308" s="58"/>
      <c r="DE308" s="58"/>
      <c r="DF308" s="58"/>
      <c r="DG308" s="58"/>
      <c r="DH308" s="58"/>
      <c r="DI308" s="61"/>
    </row>
    <row r="309" spans="10:113" x14ac:dyDescent="0.25">
      <c r="K309" s="75" t="s">
        <v>144</v>
      </c>
      <c r="L309" s="22">
        <v>0.75</v>
      </c>
      <c r="M309" s="80" t="s">
        <v>771</v>
      </c>
      <c r="N309" s="508">
        <v>0.69</v>
      </c>
      <c r="O309" s="68" t="s">
        <v>780</v>
      </c>
      <c r="P309" s="507" t="b">
        <v>0</v>
      </c>
      <c r="U309" s="22"/>
      <c r="V309" s="22"/>
      <c r="Y309" s="22"/>
      <c r="Z309" s="28"/>
      <c r="AA309" s="48"/>
      <c r="AI309" s="22"/>
      <c r="AJ309" s="28"/>
      <c r="AK309" s="48"/>
      <c r="AT309" s="22"/>
      <c r="AU309" s="28"/>
      <c r="AV309" s="48"/>
      <c r="BP309" s="68" t="s">
        <v>144</v>
      </c>
      <c r="BQ309" s="73" t="e">
        <f>IF([0]!Casilla2,φe_H1_C1,VLOOKUP(Seccion1!provincia_C1,datos_humedad_julio[],$L$57+1,FALSE))</f>
        <v>#NAME?</v>
      </c>
      <c r="BR309" s="111"/>
      <c r="BS309" s="77" t="s">
        <v>160</v>
      </c>
      <c r="BT309" s="70"/>
      <c r="BU309" s="38"/>
      <c r="BV309" s="38"/>
      <c r="BW309" s="38"/>
      <c r="BX309" s="38"/>
      <c r="BY309" s="71"/>
      <c r="BZ309" s="71"/>
      <c r="CA309" s="38"/>
      <c r="CB309" s="72"/>
      <c r="CC309" s="111"/>
      <c r="CD309" s="77" t="s">
        <v>160</v>
      </c>
      <c r="CE309" s="67"/>
      <c r="CF309" s="38"/>
      <c r="CG309" s="38"/>
      <c r="CH309" s="38"/>
      <c r="CI309" s="38"/>
      <c r="CJ309" s="38"/>
      <c r="CK309" s="38"/>
      <c r="CL309" s="38"/>
      <c r="CM309" s="72"/>
      <c r="CN309" s="111"/>
      <c r="CO309" s="77" t="s">
        <v>160</v>
      </c>
      <c r="CP309" s="67"/>
      <c r="CQ309" s="38"/>
      <c r="CR309" s="38"/>
      <c r="CS309" s="38"/>
      <c r="CT309" s="38"/>
      <c r="CU309" s="38"/>
      <c r="CV309" s="38"/>
      <c r="CW309" s="38"/>
      <c r="CX309" s="38"/>
      <c r="CY309" s="111"/>
      <c r="CZ309" s="77" t="s">
        <v>160</v>
      </c>
      <c r="DA309" s="67"/>
      <c r="DB309" s="38"/>
      <c r="DC309" s="38"/>
      <c r="DD309" s="38"/>
      <c r="DE309" s="38"/>
      <c r="DF309" s="38"/>
      <c r="DG309" s="38"/>
      <c r="DH309" s="38"/>
      <c r="DI309" s="72"/>
    </row>
    <row r="310" spans="10:113" x14ac:dyDescent="0.25">
      <c r="K310" s="75" t="s">
        <v>108</v>
      </c>
      <c r="L310" s="79">
        <v>2196.1512432322252</v>
      </c>
      <c r="M310" s="80" t="s">
        <v>109</v>
      </c>
      <c r="N310" s="78">
        <v>3072.8513291546892</v>
      </c>
      <c r="O310" s="75" t="s">
        <v>782</v>
      </c>
      <c r="P310" s="508">
        <v>0</v>
      </c>
      <c r="U310" s="48"/>
      <c r="V310" s="48"/>
      <c r="Y310" s="82"/>
      <c r="Z310" s="80"/>
      <c r="AA310" s="48"/>
      <c r="AI310" s="82"/>
      <c r="AJ310" s="80"/>
      <c r="AK310" s="48"/>
      <c r="AT310" s="82"/>
      <c r="AU310" s="80"/>
      <c r="AV310" s="48"/>
      <c r="BP310" s="75" t="s">
        <v>145</v>
      </c>
      <c r="BQ310" s="76" t="e">
        <f>IF([0]!Casilla2,φe_H1_C1,VLOOKUP(Seccion1!provincia_C1,datos_temperatura_julio[],$L$57+1,FALSE))</f>
        <v>#NAME?</v>
      </c>
      <c r="BR310" s="112"/>
      <c r="BS310" s="80" t="s">
        <v>162</v>
      </c>
      <c r="BT310" s="17"/>
      <c r="BY310" s="48"/>
      <c r="BZ310" s="48"/>
      <c r="CB310" s="49"/>
      <c r="CC310" s="112"/>
      <c r="CD310" s="80" t="s">
        <v>162</v>
      </c>
      <c r="CE310" s="48"/>
      <c r="CM310" s="49"/>
      <c r="CN310" s="112"/>
      <c r="CO310" s="80" t="s">
        <v>162</v>
      </c>
      <c r="CP310" s="48"/>
      <c r="CY310" s="112"/>
      <c r="CZ310" s="80" t="s">
        <v>162</v>
      </c>
      <c r="DA310" s="48"/>
      <c r="DI310" s="49"/>
    </row>
    <row r="311" spans="10:113" ht="18.75" thickBot="1" x14ac:dyDescent="0.4">
      <c r="K311" s="486" t="s">
        <v>156</v>
      </c>
      <c r="L311" s="509">
        <v>1647.1134324241689</v>
      </c>
      <c r="M311" s="115" t="s">
        <v>781</v>
      </c>
      <c r="N311" s="487">
        <v>2120.2674171167355</v>
      </c>
      <c r="O311" s="75" t="s">
        <v>161</v>
      </c>
      <c r="P311" s="508">
        <v>1.5693020526708145E-11</v>
      </c>
      <c r="Y311" s="79"/>
      <c r="Z311" s="80"/>
      <c r="AA311" s="79"/>
      <c r="AI311" s="79"/>
      <c r="AJ311" s="80"/>
      <c r="AK311" s="79"/>
      <c r="AT311" s="79"/>
      <c r="AU311" s="80"/>
      <c r="AV311" s="79"/>
      <c r="BP311" s="75" t="s">
        <v>108</v>
      </c>
      <c r="BQ311" s="78">
        <f ca="1">IF(ISNUMBER(ϴe_H3_C1),IF(ϴe_H3_C1&gt;=0,610.5*EXP((17.269*ϴe_H3_C1)/(237.3+ϴe_H3_C1)),610.5*EXP((21.875*ϴe_H3_C1)/(265.5+ϴe_H3_C1))),NA())</f>
        <v>871.86452524041533</v>
      </c>
      <c r="BR311" s="113"/>
      <c r="BS311" s="80" t="s">
        <v>125</v>
      </c>
      <c r="BT311" s="79"/>
      <c r="CB311" s="49"/>
      <c r="CC311" s="113"/>
      <c r="CD311" s="80" t="s">
        <v>125</v>
      </c>
      <c r="CE311" s="79"/>
      <c r="CM311" s="49"/>
      <c r="CN311" s="113"/>
      <c r="CO311" s="80" t="s">
        <v>125</v>
      </c>
      <c r="CP311" s="79"/>
      <c r="CY311" s="113"/>
      <c r="CZ311" s="80" t="s">
        <v>125</v>
      </c>
      <c r="DA311" s="79"/>
      <c r="DI311" s="49"/>
    </row>
    <row r="312" spans="10:113" ht="18" x14ac:dyDescent="0.35">
      <c r="K312" s="68" t="s">
        <v>779</v>
      </c>
      <c r="L312" s="70" t="b">
        <v>0</v>
      </c>
      <c r="M312" s="38"/>
      <c r="N312" s="72"/>
      <c r="O312" s="75" t="s">
        <v>628</v>
      </c>
      <c r="P312" s="49"/>
      <c r="Y312" s="79"/>
      <c r="Z312" s="80"/>
      <c r="AA312" s="82"/>
      <c r="AI312" s="79"/>
      <c r="AJ312" s="80"/>
      <c r="AK312" s="82"/>
      <c r="AT312" s="79"/>
      <c r="AU312" s="80"/>
      <c r="AV312" s="82"/>
      <c r="BP312" s="81" t="s">
        <v>109</v>
      </c>
      <c r="BQ312" s="78" t="e">
        <f>IF(ISNUMBER([0]!ϴi_C1),IF([0]!ϴi_C1&gt;=0,610.5*EXP((17.269*[0]!ϴi_C1)/(237.3+[0]!ϴi_C1)),610.5*EXP((21.875*[0]!ϴi_C1)/(265.5+[0]!ϴi_C1))),NA())</f>
        <v>#N/A</v>
      </c>
      <c r="BR312" s="113"/>
      <c r="BS312" s="80" t="s">
        <v>126</v>
      </c>
      <c r="BT312" s="82"/>
      <c r="CB312" s="49"/>
      <c r="CC312" s="113"/>
      <c r="CD312" s="80" t="s">
        <v>126</v>
      </c>
      <c r="CE312" s="82"/>
      <c r="CM312" s="49"/>
      <c r="CN312" s="113"/>
      <c r="CO312" s="80" t="s">
        <v>126</v>
      </c>
      <c r="CP312" s="82"/>
      <c r="CY312" s="113"/>
      <c r="CZ312" s="80" t="s">
        <v>126</v>
      </c>
      <c r="DA312" s="82"/>
      <c r="DI312" s="49"/>
    </row>
    <row r="313" spans="10:113" ht="18" x14ac:dyDescent="0.35">
      <c r="K313" s="75" t="s">
        <v>125</v>
      </c>
      <c r="L313" s="79">
        <v>2650.3342713959191</v>
      </c>
      <c r="M313" s="80" t="s">
        <v>126</v>
      </c>
      <c r="N313" s="76">
        <v>22.049149487458664</v>
      </c>
      <c r="O313" s="43"/>
      <c r="P313" s="49"/>
      <c r="Y313" s="79"/>
      <c r="Z313" s="80"/>
      <c r="AA313" s="83"/>
      <c r="AI313" s="79"/>
      <c r="AJ313" s="80"/>
      <c r="AK313" s="83"/>
      <c r="AT313" s="79"/>
      <c r="AU313" s="80"/>
      <c r="AV313" s="83"/>
      <c r="BP313" s="75" t="s">
        <v>156</v>
      </c>
      <c r="BQ313" s="78">
        <f ca="1">P_sat_e_VN_C1*φe_H3_C1</f>
        <v>767.24078221156549</v>
      </c>
      <c r="BR313" s="113"/>
      <c r="BS313" s="80" t="s">
        <v>127</v>
      </c>
      <c r="BT313" s="83"/>
      <c r="CB313" s="49"/>
      <c r="CC313" s="113"/>
      <c r="CD313" s="80" t="s">
        <v>127</v>
      </c>
      <c r="CE313" s="83"/>
      <c r="CM313" s="49"/>
      <c r="CN313" s="113"/>
      <c r="CO313" s="80" t="s">
        <v>127</v>
      </c>
      <c r="CP313" s="83"/>
      <c r="CY313" s="113"/>
      <c r="CZ313" s="80" t="s">
        <v>127</v>
      </c>
      <c r="DA313" s="83"/>
      <c r="DI313" s="49"/>
    </row>
    <row r="314" spans="10:113" ht="18.75" thickBot="1" x14ac:dyDescent="0.4">
      <c r="K314" s="486" t="s">
        <v>127</v>
      </c>
      <c r="L314" s="512">
        <v>0.55439081590157524</v>
      </c>
      <c r="M314" s="115" t="s">
        <v>122</v>
      </c>
      <c r="N314" s="510">
        <v>0.29173545931963113</v>
      </c>
      <c r="O314" s="57"/>
      <c r="P314" s="61"/>
      <c r="Y314" s="22"/>
      <c r="Z314" s="80"/>
      <c r="AA314" s="22"/>
      <c r="AI314" s="22"/>
      <c r="AJ314" s="80"/>
      <c r="AK314" s="22"/>
      <c r="AT314" s="22"/>
      <c r="AU314" s="80"/>
      <c r="AV314" s="22"/>
      <c r="BP314" s="75"/>
      <c r="BR314" s="114"/>
      <c r="BS314" s="80" t="s">
        <v>122</v>
      </c>
      <c r="BT314" s="22"/>
      <c r="CB314" s="49"/>
      <c r="CC314" s="114"/>
      <c r="CD314" s="80" t="s">
        <v>122</v>
      </c>
      <c r="CE314" s="22"/>
      <c r="CM314" s="49"/>
      <c r="CN314" s="114"/>
      <c r="CO314" s="80" t="s">
        <v>122</v>
      </c>
      <c r="CP314" s="22"/>
      <c r="CY314" s="114"/>
      <c r="CZ314" s="80" t="s">
        <v>122</v>
      </c>
      <c r="DA314" s="22"/>
      <c r="DI314" s="49"/>
    </row>
    <row r="315" spans="10:113" x14ac:dyDescent="0.25">
      <c r="K315" s="80"/>
      <c r="N315" s="28"/>
      <c r="O315" s="17"/>
      <c r="Z315" s="28"/>
      <c r="AA315" s="17"/>
      <c r="AJ315" s="28"/>
      <c r="AK315" s="17"/>
      <c r="AU315" s="28"/>
      <c r="AV315" s="17"/>
      <c r="BP315" s="43"/>
      <c r="BQ315" s="49"/>
      <c r="BR315" s="43"/>
      <c r="BS315" s="28" t="s">
        <v>159</v>
      </c>
      <c r="BT315" s="17"/>
      <c r="CB315" s="49"/>
      <c r="CC315" s="43"/>
      <c r="CD315" s="28" t="s">
        <v>159</v>
      </c>
      <c r="CE315" s="17"/>
      <c r="CM315" s="49"/>
      <c r="CN315" s="43"/>
      <c r="CO315" s="28" t="s">
        <v>159</v>
      </c>
      <c r="CP315" s="17"/>
      <c r="CY315" s="43"/>
      <c r="CZ315" s="28" t="s">
        <v>159</v>
      </c>
      <c r="DA315" s="17"/>
      <c r="DI315" s="49"/>
    </row>
    <row r="316" spans="10:113" ht="15.75" thickBot="1" x14ac:dyDescent="0.3">
      <c r="K316" s="80"/>
      <c r="N316" s="80"/>
      <c r="Z316" s="80"/>
      <c r="AA316" s="17"/>
      <c r="AJ316" s="80"/>
      <c r="AK316" s="17"/>
      <c r="AU316" s="80"/>
      <c r="AV316" s="17"/>
      <c r="BP316" s="57"/>
      <c r="BQ316" s="61"/>
      <c r="BR316" s="57"/>
      <c r="BS316" s="115" t="s">
        <v>161</v>
      </c>
      <c r="BT316" s="58"/>
      <c r="BU316" s="58"/>
      <c r="BV316" s="58"/>
      <c r="BW316" s="58"/>
      <c r="BX316" s="58"/>
      <c r="BY316" s="58"/>
      <c r="BZ316" s="58"/>
      <c r="CA316" s="58"/>
      <c r="CB316" s="61"/>
      <c r="CC316" s="57"/>
      <c r="CD316" s="115" t="s">
        <v>161</v>
      </c>
      <c r="CE316" s="84"/>
      <c r="CF316" s="58"/>
      <c r="CG316" s="58"/>
      <c r="CH316" s="58"/>
      <c r="CI316" s="58"/>
      <c r="CJ316" s="58"/>
      <c r="CK316" s="58"/>
      <c r="CL316" s="58"/>
      <c r="CM316" s="61"/>
      <c r="CN316" s="57"/>
      <c r="CO316" s="115" t="s">
        <v>161</v>
      </c>
      <c r="CP316" s="84"/>
      <c r="CQ316" s="58"/>
      <c r="CR316" s="58"/>
      <c r="CS316" s="58"/>
      <c r="CT316" s="58"/>
      <c r="CU316" s="58"/>
      <c r="CV316" s="58"/>
      <c r="CW316" s="58"/>
      <c r="CX316" s="58"/>
      <c r="CY316" s="57"/>
      <c r="CZ316" s="115" t="s">
        <v>161</v>
      </c>
      <c r="DA316" s="84"/>
      <c r="DB316" s="58"/>
      <c r="DC316" s="58"/>
      <c r="DD316" s="58"/>
      <c r="DE316" s="58"/>
      <c r="DF316" s="58"/>
      <c r="DG316" s="58"/>
      <c r="DH316" s="58"/>
      <c r="DI316" s="61"/>
    </row>
    <row r="317" spans="10:113" ht="15.75" thickBot="1" x14ac:dyDescent="0.3">
      <c r="K317" s="516" t="s">
        <v>179</v>
      </c>
      <c r="L317" s="30">
        <v>9</v>
      </c>
      <c r="M317" s="110" t="str">
        <f>VLOOKUP(L317,Aux!$AL$72:$AM$83,2,FALSE)</f>
        <v>Septiembre</v>
      </c>
      <c r="N317" s="32"/>
      <c r="O317" s="32"/>
      <c r="P317" s="32"/>
      <c r="Q317" s="540"/>
      <c r="R317" s="32"/>
      <c r="S317" s="32"/>
      <c r="T317" s="32"/>
      <c r="U317" s="32"/>
      <c r="V317" s="32"/>
      <c r="W317" s="32"/>
      <c r="X317" s="33"/>
      <c r="Y317" s="32"/>
      <c r="Z317" s="32"/>
      <c r="AA317" s="33"/>
    </row>
    <row r="318" spans="10:113" ht="15.75" thickBot="1" x14ac:dyDescent="0.3">
      <c r="K318" s="42" t="s">
        <v>120</v>
      </c>
      <c r="L318" s="41" t="s">
        <v>121</v>
      </c>
      <c r="M318" s="515" t="s">
        <v>265</v>
      </c>
      <c r="N318" s="35" t="s">
        <v>146</v>
      </c>
      <c r="O318" s="35" t="s">
        <v>806</v>
      </c>
      <c r="P318" s="35" t="s">
        <v>167</v>
      </c>
      <c r="Q318" s="35" t="s">
        <v>807</v>
      </c>
      <c r="R318" s="35" t="s">
        <v>783</v>
      </c>
      <c r="S318" s="532" t="s">
        <v>170</v>
      </c>
      <c r="T318" s="40" t="s">
        <v>178</v>
      </c>
      <c r="U318" s="40" t="s">
        <v>169</v>
      </c>
      <c r="V318" s="40" t="s">
        <v>168</v>
      </c>
      <c r="W318" s="40" t="s">
        <v>175</v>
      </c>
      <c r="X318" s="41" t="s">
        <v>176</v>
      </c>
      <c r="Y318" s="40"/>
      <c r="Z318" s="40"/>
      <c r="AA318" s="41"/>
      <c r="AB318" s="80"/>
      <c r="AG318" s="80"/>
      <c r="AH318" s="17"/>
      <c r="AI318" s="17"/>
      <c r="AJ318" s="80"/>
      <c r="AK318" s="22"/>
      <c r="AM318" s="80"/>
      <c r="AN318" s="80"/>
      <c r="AO318" s="80"/>
      <c r="AP318" s="80"/>
      <c r="AQ318" s="80"/>
      <c r="AR318" s="80"/>
      <c r="AS318" s="17"/>
      <c r="AT318" s="17"/>
      <c r="AU318" s="80"/>
      <c r="AV318" s="22"/>
      <c r="AX318" s="80"/>
      <c r="AY318" s="80"/>
      <c r="AZ318" s="80"/>
      <c r="BA318" s="80"/>
      <c r="BB318" s="80"/>
      <c r="BC318" s="80"/>
      <c r="BD318" s="17"/>
      <c r="BP318" s="29" t="s">
        <v>179</v>
      </c>
      <c r="BQ318" s="30">
        <v>10</v>
      </c>
      <c r="BR318" s="110"/>
      <c r="BS318" s="34" t="s">
        <v>163</v>
      </c>
      <c r="BT318" s="31">
        <f ca="1">P_sat_i_VN_C1*VLOOKUP(1,φi[],2,FALSE)</f>
        <v>1519.0182434715223</v>
      </c>
      <c r="BU318" s="32"/>
      <c r="BV318" s="32"/>
      <c r="BW318" s="32"/>
      <c r="BX318" s="32"/>
      <c r="BY318" s="32"/>
      <c r="BZ318" s="32"/>
      <c r="CA318" s="34" t="s">
        <v>267</v>
      </c>
      <c r="CB318" s="30">
        <f>VLOOKUP(1,φi[],2,FALSE)</f>
        <v>0.65</v>
      </c>
      <c r="CC318" s="110"/>
      <c r="CD318" s="34" t="s">
        <v>164</v>
      </c>
      <c r="CE318" s="31">
        <f ca="1">P_sat_i_VN_C1*VLOOKUP(2,φi[],2,FALSE)</f>
        <v>1752.7133578517564</v>
      </c>
      <c r="CF318" s="34"/>
      <c r="CG318" s="34"/>
      <c r="CH318" s="32"/>
      <c r="CI318" s="32"/>
      <c r="CJ318" s="32"/>
      <c r="CK318" s="32"/>
      <c r="CL318" s="34" t="s">
        <v>268</v>
      </c>
      <c r="CM318" s="30">
        <f>VLOOKUP(2,φi[],2,FALSE)</f>
        <v>0.75</v>
      </c>
      <c r="CN318" s="110"/>
      <c r="CO318" s="34" t="s">
        <v>165</v>
      </c>
      <c r="CP318" s="31">
        <f ca="1">P_sat_i_VN_C1*VLOOKUP(3,φi[],2,FALSE)</f>
        <v>1869.5609150418736</v>
      </c>
      <c r="CQ318" s="32"/>
      <c r="CR318" s="34"/>
      <c r="CS318" s="34"/>
      <c r="CT318" s="34"/>
      <c r="CU318" s="34"/>
      <c r="CV318" s="34"/>
      <c r="CW318" s="34" t="s">
        <v>269</v>
      </c>
      <c r="CX318" s="116">
        <f>VLOOKUP(3,φi[],2,FALSE)</f>
        <v>0.8</v>
      </c>
      <c r="CY318" s="110"/>
      <c r="CZ318" s="34" t="s">
        <v>166</v>
      </c>
      <c r="DA318" s="31">
        <f ca="1">P_sat_i_VN_C1*Seccion1!φi_C1</f>
        <v>747.82436601674965</v>
      </c>
      <c r="DB318" s="32"/>
      <c r="DC318" s="34"/>
      <c r="DD318" s="34"/>
      <c r="DE318" s="34"/>
      <c r="DF318" s="34"/>
      <c r="DG318" s="34"/>
      <c r="DH318" s="34" t="s">
        <v>154</v>
      </c>
      <c r="DI318" s="30"/>
    </row>
    <row r="319" spans="10:113" x14ac:dyDescent="0.25">
      <c r="J319" s="517"/>
      <c r="K319" s="46">
        <v>15</v>
      </c>
      <c r="L319" s="47">
        <v>1704.407300540305</v>
      </c>
      <c r="M319" s="54"/>
      <c r="N319" s="44" t="s">
        <v>107</v>
      </c>
      <c r="O319" s="44" t="e">
        <v>#N/A</v>
      </c>
      <c r="P319" s="15" t="e">
        <v>#N/A</v>
      </c>
      <c r="Q319" s="541"/>
      <c r="R319" s="44"/>
      <c r="S319" s="533"/>
      <c r="T319" s="44"/>
      <c r="U319" s="44"/>
      <c r="V319" s="44"/>
      <c r="W319" s="44"/>
      <c r="X319" s="531"/>
      <c r="Y319" s="44"/>
      <c r="Z319" s="44"/>
      <c r="AA319" s="531"/>
      <c r="AB319" s="35"/>
      <c r="AC319" s="35"/>
      <c r="AD319" s="35"/>
      <c r="AE319" s="35"/>
      <c r="AF319" s="35"/>
      <c r="AG319" s="35"/>
      <c r="AH319" s="35"/>
      <c r="AI319" s="511"/>
      <c r="AJ319" s="35"/>
      <c r="AK319" s="35"/>
      <c r="AL319" s="35"/>
      <c r="AM319" s="35"/>
      <c r="AN319" s="35"/>
      <c r="AO319" s="35"/>
      <c r="AP319" s="35"/>
      <c r="AQ319" s="35"/>
      <c r="AR319" s="35"/>
      <c r="AS319" s="35"/>
      <c r="AT319" s="511"/>
      <c r="AU319" s="35"/>
      <c r="AV319" s="35"/>
      <c r="AW319" s="35"/>
      <c r="AX319" s="35"/>
      <c r="AY319" s="35"/>
      <c r="AZ319" s="35"/>
      <c r="BA319" s="35"/>
      <c r="BB319" s="35"/>
      <c r="BC319" s="35"/>
      <c r="BD319" s="35"/>
      <c r="BP319" s="42" t="s">
        <v>120</v>
      </c>
      <c r="BQ319" s="41" t="s">
        <v>121</v>
      </c>
      <c r="BR319" s="42" t="s">
        <v>265</v>
      </c>
      <c r="BS319" s="40" t="s">
        <v>146</v>
      </c>
      <c r="BT319" s="40" t="s">
        <v>147</v>
      </c>
      <c r="BU319" s="40" t="s">
        <v>170</v>
      </c>
      <c r="BV319" s="40" t="s">
        <v>178</v>
      </c>
      <c r="BW319" s="40" t="s">
        <v>169</v>
      </c>
      <c r="BX319" s="40" t="s">
        <v>168</v>
      </c>
      <c r="BY319" s="40" t="s">
        <v>175</v>
      </c>
      <c r="BZ319" s="40" t="s">
        <v>176</v>
      </c>
      <c r="CA319" s="40" t="s">
        <v>167</v>
      </c>
      <c r="CB319" s="41" t="s">
        <v>266</v>
      </c>
      <c r="CC319" s="42" t="s">
        <v>265</v>
      </c>
      <c r="CD319" s="40" t="s">
        <v>148</v>
      </c>
      <c r="CE319" s="40" t="s">
        <v>149</v>
      </c>
      <c r="CF319" s="40" t="s">
        <v>170</v>
      </c>
      <c r="CG319" s="40" t="s">
        <v>178</v>
      </c>
      <c r="CH319" s="40" t="s">
        <v>169</v>
      </c>
      <c r="CI319" s="40" t="s">
        <v>168</v>
      </c>
      <c r="CJ319" s="40" t="s">
        <v>175</v>
      </c>
      <c r="CK319" s="40" t="s">
        <v>176</v>
      </c>
      <c r="CL319" s="40" t="s">
        <v>171</v>
      </c>
      <c r="CM319" s="41" t="s">
        <v>266</v>
      </c>
      <c r="CN319" s="42" t="s">
        <v>265</v>
      </c>
      <c r="CO319" s="40" t="s">
        <v>150</v>
      </c>
      <c r="CP319" s="40" t="s">
        <v>151</v>
      </c>
      <c r="CQ319" s="40" t="s">
        <v>170</v>
      </c>
      <c r="CR319" s="40" t="s">
        <v>178</v>
      </c>
      <c r="CS319" s="40" t="s">
        <v>169</v>
      </c>
      <c r="CT319" s="40" t="s">
        <v>168</v>
      </c>
      <c r="CU319" s="40" t="s">
        <v>175</v>
      </c>
      <c r="CV319" s="40" t="s">
        <v>176</v>
      </c>
      <c r="CW319" s="40" t="s">
        <v>172</v>
      </c>
      <c r="CX319" s="41" t="s">
        <v>266</v>
      </c>
      <c r="CY319" s="42" t="s">
        <v>265</v>
      </c>
      <c r="CZ319" s="40" t="s">
        <v>152</v>
      </c>
      <c r="DA319" s="40" t="s">
        <v>153</v>
      </c>
      <c r="DB319" s="40" t="s">
        <v>170</v>
      </c>
      <c r="DC319" s="40" t="s">
        <v>178</v>
      </c>
      <c r="DD319" s="40" t="s">
        <v>169</v>
      </c>
      <c r="DE319" s="40" t="s">
        <v>168</v>
      </c>
      <c r="DF319" s="40" t="s">
        <v>175</v>
      </c>
      <c r="DG319" s="40" t="s">
        <v>176</v>
      </c>
      <c r="DH319" s="40" t="s">
        <v>177</v>
      </c>
      <c r="DI319" s="41" t="s">
        <v>266</v>
      </c>
    </row>
    <row r="320" spans="10:113" x14ac:dyDescent="0.25">
      <c r="J320" s="517"/>
      <c r="K320" s="53">
        <v>15.043383947939262</v>
      </c>
      <c r="L320" s="47">
        <v>1709.1734178072786</v>
      </c>
      <c r="M320" s="54">
        <v>11.4139857894373</v>
      </c>
      <c r="N320" s="50">
        <v>1346.4817674268411</v>
      </c>
      <c r="O320" s="55">
        <v>0</v>
      </c>
      <c r="P320" s="50">
        <f ca="1">IF(ISNA(T320),
_xlfn.FORECAST.LINEAR($J60,INDIRECT(W320),INDIRECT(X320)),T320)</f>
        <v>1346.4817674268411</v>
      </c>
      <c r="Q320" s="514"/>
      <c r="R320" s="50"/>
      <c r="S320" s="535" cm="1">
        <f t="array" ref="S320">SUM(IF(ISNUMBER(T$320:T320),1,0))+IF($J320&gt;Capas_VN_C1,1,0)</f>
        <v>1</v>
      </c>
      <c r="T320" s="50">
        <f>IF(O320=1,$L320,L337)</f>
        <v>1346.4817674268411</v>
      </c>
      <c r="U320" s="50">
        <f>VLOOKUP($J321,$S$320:$T$332,2,FALSE)</f>
        <v>1346.4817674268411</v>
      </c>
      <c r="V320" s="50">
        <f>INDEX($J$60:$J$72,MATCH(U320,T$320:T$332,0))</f>
        <v>0</v>
      </c>
      <c r="W320" s="50" t="str">
        <f>CONCATENATE(ADDRESS(ROW(U$320)-1+S320,COLUMN(U$320)),":",ADDRESS(ROW(U$320)+S320,COLUMN(U$320)))</f>
        <v>$U$320:$U$321</v>
      </c>
      <c r="X320" s="214" t="str">
        <f>CONCATENATE(ADDRESS(ROW(V$320)-1+S320,COLUMN(V$320)),":",ADDRESS(ROW(V$320)+S320,COLUMN(V$320)))</f>
        <v>$V$320:$V$321</v>
      </c>
      <c r="Y320" s="50"/>
      <c r="Z320" s="50"/>
      <c r="AA320" s="214"/>
      <c r="AC320" s="48"/>
      <c r="AD320" s="48"/>
      <c r="AE320" s="48"/>
      <c r="AF320" s="48"/>
      <c r="AI320" s="51"/>
      <c r="AJ320" s="44"/>
      <c r="AK320" s="44"/>
      <c r="AN320" s="48"/>
      <c r="AO320" s="48"/>
      <c r="AP320" s="48"/>
      <c r="AQ320" s="48"/>
      <c r="AT320" s="51"/>
      <c r="AU320" s="44"/>
      <c r="AV320" s="44"/>
      <c r="AY320" s="48"/>
      <c r="AZ320" s="48"/>
      <c r="BA320" s="48"/>
      <c r="BB320" s="48"/>
      <c r="BP320" s="46"/>
      <c r="BQ320" s="52"/>
      <c r="BR320" s="54"/>
      <c r="BS320" s="44"/>
      <c r="BT320" s="44"/>
      <c r="BW320" s="48"/>
      <c r="BX320" s="48"/>
      <c r="BY320" s="48"/>
      <c r="BZ320" s="48"/>
      <c r="CB320" s="49"/>
      <c r="CC320" s="54"/>
      <c r="CD320" s="44"/>
      <c r="CE320" s="44"/>
      <c r="CH320" s="48"/>
      <c r="CI320" s="48"/>
      <c r="CJ320" s="48"/>
      <c r="CK320" s="48"/>
      <c r="CM320" s="49"/>
      <c r="CN320" s="54"/>
      <c r="CO320" s="44"/>
      <c r="CP320" s="44"/>
      <c r="CS320" s="48"/>
      <c r="CT320" s="48"/>
      <c r="CU320" s="48"/>
      <c r="CV320" s="48"/>
      <c r="CY320" s="54"/>
      <c r="CZ320" s="44"/>
      <c r="DA320" s="44"/>
      <c r="DD320" s="48"/>
      <c r="DE320" s="48"/>
      <c r="DF320" s="48"/>
      <c r="DG320" s="48"/>
      <c r="DI320" s="49"/>
    </row>
    <row r="321" spans="10:113" x14ac:dyDescent="0.25">
      <c r="J321" s="15">
        <v>1</v>
      </c>
      <c r="K321" s="53">
        <v>15.097613882863341</v>
      </c>
      <c r="L321" s="47">
        <v>1715.1474954875341</v>
      </c>
      <c r="M321" s="54">
        <v>14.960934204051803</v>
      </c>
      <c r="N321" s="50">
        <v>1698.1552609269061</v>
      </c>
      <c r="O321" s="55">
        <f t="array" aca="1" ref="O321:O332" ca="1">IF((N321:N332&gt;=L321:L332)+(R295:R306&gt;0),1,0)</f>
        <v>1</v>
      </c>
      <c r="P321" s="50">
        <f t="shared" ref="P321:P332" ca="1" si="265">IF(ISNA(T321),
_xlfn.FORECAST.LINEAR($J61,INDIRECT(W321),INDIRECT(X321)),T321)</f>
        <v>1715.1474954875341</v>
      </c>
      <c r="Q321" s="534">
        <f ca="1">IF(O321=1,δ_0*(SLOPE(INDIRECT(VLOOKUP(S321,$S$320:$X$332,5,FALSE)),INDIRECT(VLOOKUP(S321,$S$320:$X$332,6,FALSE)))-SLOPE(INDIRECT(VLOOKUP(S321-1,$S$320:$X$332,5,FALSE)),INDIRECT(VLOOKUP(S321-1,$S$320:$X$332,6,FALSE)))),0)*86400*VLOOKUP($L$317,Aux!$AL$72:$AN$83,3,FALSE)</f>
        <v>-1.0312966773228698E-5</v>
      </c>
      <c r="R321" s="534">
        <f ca="1">IFERROR(IF(Q321+R295&lt;0,0,Q321+R295),0)</f>
        <v>7.6107380461107983E-4</v>
      </c>
      <c r="S321" s="535" cm="1">
        <f t="array" aca="1" ref="S321" ca="1">SUM(IF(ISNUMBER(T$320:T321),1,0))+IF($J321&gt;Capas_VN_C1,1,0)</f>
        <v>2</v>
      </c>
      <c r="T321" s="50">
        <f t="shared" ref="T321:T332" ca="1" si="266">IF(O321=1,$L321,IF(J321=Capas_VN_C1,$N$337,NA()))</f>
        <v>1715.1474954875341</v>
      </c>
      <c r="U321" s="50">
        <f t="shared" ref="U321:U332" ca="1" si="267">VLOOKUP($J322,$S$320:$T$332,2,FALSE)</f>
        <v>1715.1474954875341</v>
      </c>
      <c r="V321" s="50">
        <f t="shared" ref="V321:V332" ca="1" si="268">INDEX($J$60:$J$72,MATCH(U321,T$320:T$332,0))</f>
        <v>5000</v>
      </c>
      <c r="W321" s="50" t="str">
        <f t="shared" ref="W321:W332" ca="1" si="269">CONCATENATE(ADDRESS(ROW(U$320)-1+S321,COLUMN(U$320)),":",ADDRESS(ROW(U$320)+S321,COLUMN(U$320)))</f>
        <v>$U$321:$U$322</v>
      </c>
      <c r="X321" s="214" t="str">
        <f t="shared" ref="X321:X332" ca="1" si="270">CONCATENATE(ADDRESS(ROW(V$320)-1+S321,COLUMN(V$320)),":",ADDRESS(ROW(V$320)+S321,COLUMN(V$320)))</f>
        <v>$V$321:$V$322</v>
      </c>
      <c r="Y321" s="50"/>
      <c r="Z321" s="50"/>
      <c r="AA321" s="214"/>
      <c r="AB321" s="51"/>
      <c r="AC321" s="51"/>
      <c r="AD321" s="51"/>
      <c r="AE321" s="48"/>
      <c r="AF321" s="48"/>
      <c r="AG321" s="50"/>
      <c r="AH321" s="50"/>
      <c r="AI321" s="51"/>
      <c r="AJ321" s="50"/>
      <c r="AK321" s="55"/>
      <c r="AL321" s="55"/>
      <c r="AM321" s="51"/>
      <c r="AN321" s="51"/>
      <c r="AO321" s="51"/>
      <c r="AP321" s="48"/>
      <c r="AQ321" s="48"/>
      <c r="AR321" s="50"/>
      <c r="AS321" s="50"/>
      <c r="AT321" s="51"/>
      <c r="AU321" s="50"/>
      <c r="AV321" s="55"/>
      <c r="AW321" s="55"/>
      <c r="AX321" s="50"/>
      <c r="AY321" s="51"/>
      <c r="AZ321" s="51"/>
      <c r="BA321" s="48"/>
      <c r="BB321" s="48"/>
      <c r="BC321" s="50"/>
      <c r="BD321" s="50"/>
      <c r="BP321" s="53"/>
      <c r="BQ321" s="52"/>
      <c r="BR321" s="54"/>
      <c r="BS321" s="50"/>
      <c r="BT321" s="55"/>
      <c r="BU321" s="55"/>
      <c r="BV321" s="51"/>
      <c r="BW321" s="51"/>
      <c r="BX321" s="51"/>
      <c r="BY321" s="48"/>
      <c r="BZ321" s="48"/>
      <c r="CA321" s="50"/>
      <c r="CB321" s="52"/>
      <c r="CC321" s="54"/>
      <c r="CD321" s="50"/>
      <c r="CE321" s="55"/>
      <c r="CF321" s="55"/>
      <c r="CG321" s="51"/>
      <c r="CH321" s="51"/>
      <c r="CI321" s="51"/>
      <c r="CJ321" s="48"/>
      <c r="CK321" s="48"/>
      <c r="CL321" s="50"/>
      <c r="CM321" s="52"/>
      <c r="CN321" s="54"/>
      <c r="CO321" s="50"/>
      <c r="CP321" s="55"/>
      <c r="CQ321" s="55"/>
      <c r="CR321" s="51"/>
      <c r="CS321" s="51"/>
      <c r="CT321" s="51"/>
      <c r="CU321" s="48"/>
      <c r="CV321" s="48"/>
      <c r="CW321" s="50"/>
      <c r="CX321" s="50"/>
      <c r="CY321" s="54"/>
      <c r="CZ321" s="50"/>
      <c r="DA321" s="55"/>
      <c r="DB321" s="55"/>
      <c r="DC321" s="50"/>
      <c r="DD321" s="51"/>
      <c r="DE321" s="51"/>
      <c r="DF321" s="48"/>
      <c r="DG321" s="48"/>
      <c r="DH321" s="50"/>
      <c r="DI321" s="52"/>
    </row>
    <row r="322" spans="10:113" x14ac:dyDescent="0.25">
      <c r="J322" s="15">
        <v>2</v>
      </c>
      <c r="K322" s="53">
        <v>18.351409978308027</v>
      </c>
      <c r="L322" s="47">
        <v>2108.8496640210146</v>
      </c>
      <c r="M322" s="54">
        <v>14.97055451379282</v>
      </c>
      <c r="N322" s="50">
        <v>1699.2102814074065</v>
      </c>
      <c r="O322" s="55">
        <f ca="1"/>
        <v>0</v>
      </c>
      <c r="P322" s="50">
        <f t="shared" ca="1" si="265"/>
        <v>1715.9550850683243</v>
      </c>
      <c r="Q322" s="534">
        <f ca="1">IF(O322=1,δ_0*(SLOPE(INDIRECT(VLOOKUP(S322,$S$320:$X$332,5,FALSE)),INDIRECT(VLOOKUP(S322,$S$320:$X$332,6,FALSE)))-SLOPE(INDIRECT(VLOOKUP(S322-1,$S$320:$X$332,5,FALSE)),INDIRECT(VLOOKUP(S322-1,$S$320:$X$332,6,FALSE)))),0)*86400*VLOOKUP($L$317,Aux!$AL$72:$AN$83,3,FALSE)</f>
        <v>0</v>
      </c>
      <c r="R322" s="534">
        <f t="shared" ref="R322:R332" ca="1" si="271">IFERROR(IF(Q322+R296&lt;0,0,Q322+R296),0)</f>
        <v>0</v>
      </c>
      <c r="S322" s="535" cm="1">
        <f t="array" aca="1" ref="S322" ca="1">SUM(IF(ISNUMBER(T$320:T322),1,0))+IF($J322&gt;Capas_VN_C1,1,0)</f>
        <v>2</v>
      </c>
      <c r="T322" s="50" t="e">
        <f t="shared" ca="1" si="266"/>
        <v>#N/A</v>
      </c>
      <c r="U322" s="50">
        <f t="shared" ca="1" si="267"/>
        <v>1770.6084407517635</v>
      </c>
      <c r="V322" s="50">
        <f t="shared" ca="1" si="268"/>
        <v>6030.12</v>
      </c>
      <c r="W322" s="50" t="str">
        <f t="shared" ca="1" si="269"/>
        <v>$U$321:$U$322</v>
      </c>
      <c r="X322" s="214" t="str">
        <f t="shared" ca="1" si="270"/>
        <v>$V$321:$V$322</v>
      </c>
      <c r="Y322" s="50"/>
      <c r="Z322" s="50"/>
      <c r="AA322" s="214"/>
      <c r="AB322" s="51"/>
      <c r="AC322" s="51"/>
      <c r="AD322" s="51"/>
      <c r="AE322" s="48"/>
      <c r="AF322" s="48"/>
      <c r="AG322" s="50"/>
      <c r="AH322" s="50"/>
      <c r="AI322" s="51"/>
      <c r="AJ322" s="50"/>
      <c r="AK322" s="55"/>
      <c r="AL322" s="55"/>
      <c r="AM322" s="51"/>
      <c r="AN322" s="51"/>
      <c r="AO322" s="51"/>
      <c r="AP322" s="48"/>
      <c r="AQ322" s="48"/>
      <c r="AR322" s="50"/>
      <c r="AS322" s="50"/>
      <c r="AT322" s="51"/>
      <c r="AU322" s="50"/>
      <c r="AV322" s="55"/>
      <c r="AW322" s="55"/>
      <c r="AX322" s="50"/>
      <c r="AY322" s="51"/>
      <c r="AZ322" s="51"/>
      <c r="BA322" s="48"/>
      <c r="BB322" s="48"/>
      <c r="BC322" s="50"/>
      <c r="BD322" s="50"/>
      <c r="BP322" s="53"/>
      <c r="BQ322" s="52"/>
      <c r="BR322" s="54"/>
      <c r="BS322" s="50"/>
      <c r="BT322" s="55"/>
      <c r="BU322" s="55"/>
      <c r="BV322" s="51"/>
      <c r="BW322" s="51"/>
      <c r="BX322" s="51"/>
      <c r="BY322" s="48"/>
      <c r="BZ322" s="48"/>
      <c r="CA322" s="50"/>
      <c r="CB322" s="52"/>
      <c r="CC322" s="54"/>
      <c r="CD322" s="50"/>
      <c r="CE322" s="55"/>
      <c r="CF322" s="55"/>
      <c r="CG322" s="51"/>
      <c r="CH322" s="51"/>
      <c r="CI322" s="51"/>
      <c r="CJ322" s="48"/>
      <c r="CK322" s="48"/>
      <c r="CL322" s="50"/>
      <c r="CM322" s="52"/>
      <c r="CN322" s="54"/>
      <c r="CO322" s="50"/>
      <c r="CP322" s="55"/>
      <c r="CQ322" s="55"/>
      <c r="CR322" s="51"/>
      <c r="CS322" s="51"/>
      <c r="CT322" s="51"/>
      <c r="CU322" s="48"/>
      <c r="CV322" s="48"/>
      <c r="CW322" s="50"/>
      <c r="CX322" s="50"/>
      <c r="CY322" s="54"/>
      <c r="CZ322" s="50"/>
      <c r="DA322" s="55"/>
      <c r="DB322" s="55"/>
      <c r="DC322" s="50"/>
      <c r="DD322" s="51"/>
      <c r="DE322" s="51"/>
      <c r="DF322" s="48"/>
      <c r="DG322" s="48"/>
      <c r="DH322" s="50"/>
      <c r="DI322" s="52"/>
    </row>
    <row r="323" spans="10:113" x14ac:dyDescent="0.25">
      <c r="J323" s="15">
        <v>3</v>
      </c>
      <c r="K323" s="53">
        <v>18.351409978308027</v>
      </c>
      <c r="L323" s="47">
        <v>2108.8496640210146</v>
      </c>
      <c r="M323" s="54">
        <v>15.600304179452172</v>
      </c>
      <c r="N323" s="50">
        <v>1769.5449801074194</v>
      </c>
      <c r="O323" s="55">
        <f ca="1"/>
        <v>0</v>
      </c>
      <c r="P323" s="50">
        <f t="shared" ca="1" si="265"/>
        <v>1769.7943904543272</v>
      </c>
      <c r="Q323" s="534">
        <f ca="1">IF(O323=1,δ_0*(SLOPE(INDIRECT(VLOOKUP(S323,$S$320:$X$332,5,FALSE)),INDIRECT(VLOOKUP(S323,$S$320:$X$332,6,FALSE)))-SLOPE(INDIRECT(VLOOKUP(S323-1,$S$320:$X$332,5,FALSE)),INDIRECT(VLOOKUP(S323-1,$S$320:$X$332,6,FALSE)))),0)*86400*VLOOKUP($L$317,Aux!$AL$72:$AN$83,3,FALSE)</f>
        <v>0</v>
      </c>
      <c r="R323" s="534">
        <f t="shared" ca="1" si="271"/>
        <v>0</v>
      </c>
      <c r="S323" s="535" cm="1">
        <f t="array" aca="1" ref="S323" ca="1">SUM(IF(ISNUMBER(T$320:T323),1,0))+IF($J323&gt;Capas_VN_C1,1,0)</f>
        <v>2</v>
      </c>
      <c r="T323" s="50" t="e">
        <f t="shared" ca="1" si="266"/>
        <v>#N/A</v>
      </c>
      <c r="U323" s="50" t="e">
        <f t="shared" ca="1" si="267"/>
        <v>#N/A</v>
      </c>
      <c r="V323" s="50" t="e">
        <f t="shared" ca="1" si="268"/>
        <v>#N/A</v>
      </c>
      <c r="W323" s="50" t="str">
        <f t="shared" ca="1" si="269"/>
        <v>$U$321:$U$322</v>
      </c>
      <c r="X323" s="214" t="str">
        <f t="shared" ca="1" si="270"/>
        <v>$V$321:$V$322</v>
      </c>
      <c r="Y323" s="50"/>
      <c r="Z323" s="50"/>
      <c r="AA323" s="214"/>
      <c r="AB323" s="51"/>
      <c r="AC323" s="51"/>
      <c r="AD323" s="51"/>
      <c r="AE323" s="48"/>
      <c r="AF323" s="48"/>
      <c r="AG323" s="50"/>
      <c r="AH323" s="50"/>
      <c r="AI323" s="51"/>
      <c r="AJ323" s="50"/>
      <c r="AK323" s="55"/>
      <c r="AL323" s="55"/>
      <c r="AM323" s="51"/>
      <c r="AN323" s="51"/>
      <c r="AO323" s="51"/>
      <c r="AP323" s="48"/>
      <c r="AQ323" s="48"/>
      <c r="AR323" s="50"/>
      <c r="AS323" s="50"/>
      <c r="AT323" s="51"/>
      <c r="AU323" s="50"/>
      <c r="AV323" s="55"/>
      <c r="AW323" s="55"/>
      <c r="AX323" s="50"/>
      <c r="AY323" s="51"/>
      <c r="AZ323" s="51"/>
      <c r="BA323" s="48"/>
      <c r="BB323" s="48"/>
      <c r="BC323" s="50"/>
      <c r="BD323" s="50"/>
      <c r="BP323" s="53"/>
      <c r="BQ323" s="52"/>
      <c r="BR323" s="54"/>
      <c r="BS323" s="50"/>
      <c r="BT323" s="55"/>
      <c r="BU323" s="55"/>
      <c r="BV323" s="51"/>
      <c r="BW323" s="51"/>
      <c r="BX323" s="51"/>
      <c r="BY323" s="48"/>
      <c r="BZ323" s="48"/>
      <c r="CA323" s="50"/>
      <c r="CB323" s="52"/>
      <c r="CC323" s="54"/>
      <c r="CD323" s="50"/>
      <c r="CE323" s="55"/>
      <c r="CF323" s="55"/>
      <c r="CG323" s="51"/>
      <c r="CH323" s="51"/>
      <c r="CI323" s="51"/>
      <c r="CJ323" s="48"/>
      <c r="CK323" s="48"/>
      <c r="CL323" s="50"/>
      <c r="CM323" s="52"/>
      <c r="CN323" s="54"/>
      <c r="CO323" s="50"/>
      <c r="CP323" s="55"/>
      <c r="CQ323" s="55"/>
      <c r="CR323" s="51"/>
      <c r="CS323" s="51"/>
      <c r="CT323" s="51"/>
      <c r="CU323" s="48"/>
      <c r="CV323" s="48"/>
      <c r="CW323" s="50"/>
      <c r="CX323" s="50"/>
      <c r="CY323" s="54"/>
      <c r="CZ323" s="50"/>
      <c r="DA323" s="55"/>
      <c r="DB323" s="55"/>
      <c r="DC323" s="50"/>
      <c r="DD323" s="51"/>
      <c r="DE323" s="51"/>
      <c r="DF323" s="48"/>
      <c r="DG323" s="48"/>
      <c r="DH323" s="50"/>
      <c r="DI323" s="52"/>
    </row>
    <row r="324" spans="10:113" x14ac:dyDescent="0.25">
      <c r="J324" s="15">
        <v>4</v>
      </c>
      <c r="K324" s="53">
        <v>22.310195227765728</v>
      </c>
      <c r="L324" s="47">
        <v>2692.7796359565359</v>
      </c>
      <c r="M324" s="54">
        <v>15.609580927714248</v>
      </c>
      <c r="N324" s="50">
        <v>1770.6000005879196</v>
      </c>
      <c r="O324" s="55">
        <f ca="1"/>
        <v>0</v>
      </c>
      <c r="P324" s="50">
        <f t="shared" ca="1" si="265"/>
        <v>1770.6019800351173</v>
      </c>
      <c r="Q324" s="534">
        <f ca="1">IF(O324=1,δ_0*(SLOPE(INDIRECT(VLOOKUP(S324,$S$320:$X$332,5,FALSE)),INDIRECT(VLOOKUP(S324,$S$320:$X$332,6,FALSE)))-SLOPE(INDIRECT(VLOOKUP(S324-1,$S$320:$X$332,5,FALSE)),INDIRECT(VLOOKUP(S324-1,$S$320:$X$332,6,FALSE)))),0)*86400*VLOOKUP($L$317,Aux!$AL$72:$AN$83,3,FALSE)</f>
        <v>0</v>
      </c>
      <c r="R324" s="534">
        <f t="shared" ca="1" si="271"/>
        <v>0</v>
      </c>
      <c r="S324" s="535" cm="1">
        <f t="array" aca="1" ref="S324" ca="1">SUM(IF(ISNUMBER(T$320:T324),1,0))+IF($J324&gt;Capas_VN_C1,1,0)</f>
        <v>2</v>
      </c>
      <c r="T324" s="50" t="e">
        <f t="shared" ca="1" si="266"/>
        <v>#N/A</v>
      </c>
      <c r="U324" s="50" t="e">
        <f t="shared" ca="1" si="267"/>
        <v>#N/A</v>
      </c>
      <c r="V324" s="50" t="e">
        <f t="shared" ca="1" si="268"/>
        <v>#N/A</v>
      </c>
      <c r="W324" s="50" t="str">
        <f t="shared" ca="1" si="269"/>
        <v>$U$321:$U$322</v>
      </c>
      <c r="X324" s="214" t="str">
        <f t="shared" ca="1" si="270"/>
        <v>$V$321:$V$322</v>
      </c>
      <c r="Y324" s="50"/>
      <c r="Z324" s="50"/>
      <c r="AA324" s="214"/>
      <c r="AB324" s="51"/>
      <c r="AC324" s="51"/>
      <c r="AD324" s="51"/>
      <c r="AE324" s="48"/>
      <c r="AF324" s="48"/>
      <c r="AG324" s="50"/>
      <c r="AH324" s="50"/>
      <c r="AI324" s="51"/>
      <c r="AJ324" s="50"/>
      <c r="AK324" s="55"/>
      <c r="AL324" s="55"/>
      <c r="AM324" s="51"/>
      <c r="AN324" s="51"/>
      <c r="AO324" s="51"/>
      <c r="AP324" s="48"/>
      <c r="AQ324" s="48"/>
      <c r="AR324" s="50"/>
      <c r="AS324" s="50"/>
      <c r="AT324" s="51"/>
      <c r="AU324" s="50"/>
      <c r="AV324" s="55"/>
      <c r="AW324" s="55"/>
      <c r="AX324" s="50"/>
      <c r="AY324" s="51"/>
      <c r="AZ324" s="51"/>
      <c r="BA324" s="48"/>
      <c r="BB324" s="48"/>
      <c r="BC324" s="50"/>
      <c r="BD324" s="50"/>
      <c r="BP324" s="53"/>
      <c r="BQ324" s="52"/>
      <c r="BR324" s="54"/>
      <c r="BS324" s="50"/>
      <c r="BT324" s="55"/>
      <c r="BU324" s="55"/>
      <c r="BV324" s="51"/>
      <c r="BW324" s="51"/>
      <c r="BX324" s="51"/>
      <c r="BY324" s="48"/>
      <c r="BZ324" s="48"/>
      <c r="CA324" s="50"/>
      <c r="CB324" s="52"/>
      <c r="CC324" s="54"/>
      <c r="CD324" s="50"/>
      <c r="CE324" s="55"/>
      <c r="CF324" s="55"/>
      <c r="CG324" s="51"/>
      <c r="CH324" s="51"/>
      <c r="CI324" s="51"/>
      <c r="CJ324" s="48"/>
      <c r="CK324" s="48"/>
      <c r="CL324" s="50"/>
      <c r="CM324" s="52"/>
      <c r="CN324" s="54"/>
      <c r="CO324" s="50"/>
      <c r="CP324" s="55"/>
      <c r="CQ324" s="55"/>
      <c r="CR324" s="51"/>
      <c r="CS324" s="51"/>
      <c r="CT324" s="51"/>
      <c r="CU324" s="48"/>
      <c r="CV324" s="48"/>
      <c r="CW324" s="50"/>
      <c r="CX324" s="50"/>
      <c r="CY324" s="54"/>
      <c r="CZ324" s="50"/>
      <c r="DA324" s="55"/>
      <c r="DB324" s="55"/>
      <c r="DC324" s="50"/>
      <c r="DD324" s="51"/>
      <c r="DE324" s="51"/>
      <c r="DF324" s="48"/>
      <c r="DG324" s="48"/>
      <c r="DH324" s="50"/>
      <c r="DI324" s="52"/>
    </row>
    <row r="325" spans="10:113" x14ac:dyDescent="0.25">
      <c r="J325" s="15">
        <v>5</v>
      </c>
      <c r="K325" s="53">
        <v>22.391540130151846</v>
      </c>
      <c r="L325" s="47">
        <v>2706.1268507354639</v>
      </c>
      <c r="M325" s="54">
        <v>15.60965512202139</v>
      </c>
      <c r="N325" s="50">
        <v>1770.6084407517635</v>
      </c>
      <c r="O325" s="55">
        <f ca="1"/>
        <v>0</v>
      </c>
      <c r="P325" s="50">
        <f t="shared" ca="1" si="265"/>
        <v>1770.6084407517635</v>
      </c>
      <c r="Q325" s="534">
        <f ca="1">IF(O325=1,δ_0*(SLOPE(INDIRECT(VLOOKUP(S325,$S$320:$X$332,5,FALSE)),INDIRECT(VLOOKUP(S325,$S$320:$X$332,6,FALSE)))-SLOPE(INDIRECT(VLOOKUP(S325-1,$S$320:$X$332,5,FALSE)),INDIRECT(VLOOKUP(S325-1,$S$320:$X$332,6,FALSE)))),0)*86400*VLOOKUP($L$317,Aux!$AL$72:$AN$83,3,FALSE)</f>
        <v>0</v>
      </c>
      <c r="R325" s="534">
        <f t="shared" ca="1" si="271"/>
        <v>0</v>
      </c>
      <c r="S325" s="535" cm="1">
        <f t="array" aca="1" ref="S325" ca="1">SUM(IF(ISNUMBER(T$320:T325),1,0))+IF($J325&gt;Capas_VN_C1,1,0)</f>
        <v>3</v>
      </c>
      <c r="T325" s="50">
        <f t="shared" ca="1" si="266"/>
        <v>1770.6084407517635</v>
      </c>
      <c r="U325" s="50" t="e">
        <f t="shared" ca="1" si="267"/>
        <v>#N/A</v>
      </c>
      <c r="V325" s="50" t="e">
        <f t="shared" ca="1" si="268"/>
        <v>#N/A</v>
      </c>
      <c r="W325" s="50" t="str">
        <f t="shared" ca="1" si="269"/>
        <v>$U$322:$U$323</v>
      </c>
      <c r="X325" s="214" t="str">
        <f t="shared" ca="1" si="270"/>
        <v>$V$322:$V$323</v>
      </c>
      <c r="Y325" s="50"/>
      <c r="Z325" s="50"/>
      <c r="AA325" s="214"/>
      <c r="AB325" s="51"/>
      <c r="AC325" s="51"/>
      <c r="AD325" s="51"/>
      <c r="AE325" s="48"/>
      <c r="AF325" s="48"/>
      <c r="AG325" s="50"/>
      <c r="AH325" s="50"/>
      <c r="AI325" s="51"/>
      <c r="AJ325" s="50"/>
      <c r="AK325" s="55"/>
      <c r="AL325" s="55"/>
      <c r="AM325" s="51"/>
      <c r="AN325" s="51"/>
      <c r="AO325" s="51"/>
      <c r="AP325" s="48"/>
      <c r="AQ325" s="48"/>
      <c r="AR325" s="50"/>
      <c r="AS325" s="50"/>
      <c r="AT325" s="51"/>
      <c r="AU325" s="50"/>
      <c r="AV325" s="55"/>
      <c r="AW325" s="55"/>
      <c r="AX325" s="50"/>
      <c r="AY325" s="51"/>
      <c r="AZ325" s="51"/>
      <c r="BA325" s="48"/>
      <c r="BB325" s="48"/>
      <c r="BC325" s="50"/>
      <c r="BD325" s="50"/>
      <c r="BP325" s="53"/>
      <c r="BQ325" s="52"/>
      <c r="BR325" s="54"/>
      <c r="BS325" s="50"/>
      <c r="BT325" s="55"/>
      <c r="BU325" s="55"/>
      <c r="BV325" s="51"/>
      <c r="BW325" s="51"/>
      <c r="BX325" s="51"/>
      <c r="BY325" s="48"/>
      <c r="BZ325" s="48"/>
      <c r="CA325" s="50"/>
      <c r="CB325" s="52"/>
      <c r="CC325" s="54"/>
      <c r="CD325" s="50"/>
      <c r="CE325" s="55"/>
      <c r="CF325" s="55"/>
      <c r="CG325" s="51"/>
      <c r="CH325" s="51"/>
      <c r="CI325" s="51"/>
      <c r="CJ325" s="48"/>
      <c r="CK325" s="48"/>
      <c r="CL325" s="50"/>
      <c r="CM325" s="52"/>
      <c r="CN325" s="54"/>
      <c r="CO325" s="50"/>
      <c r="CP325" s="55"/>
      <c r="CQ325" s="55"/>
      <c r="CR325" s="51"/>
      <c r="CS325" s="51"/>
      <c r="CT325" s="51"/>
      <c r="CU325" s="48"/>
      <c r="CV325" s="48"/>
      <c r="CW325" s="50"/>
      <c r="CX325" s="50"/>
      <c r="CY325" s="54"/>
      <c r="CZ325" s="50"/>
      <c r="DA325" s="55"/>
      <c r="DB325" s="55"/>
      <c r="DC325" s="50"/>
      <c r="DD325" s="51"/>
      <c r="DE325" s="51"/>
      <c r="DF325" s="48"/>
      <c r="DG325" s="48"/>
      <c r="DH325" s="50"/>
      <c r="DI325" s="52"/>
    </row>
    <row r="326" spans="10:113" x14ac:dyDescent="0.25">
      <c r="J326" s="15">
        <v>6</v>
      </c>
      <c r="K326" s="53">
        <v>22.5</v>
      </c>
      <c r="L326" s="47">
        <v>2724.0129857719439</v>
      </c>
      <c r="M326" s="54" t="e">
        <v>#N/A</v>
      </c>
      <c r="N326" s="50" t="e">
        <v>#N/A</v>
      </c>
      <c r="O326" s="55" t="e">
        <f ca="1"/>
        <v>#N/A</v>
      </c>
      <c r="P326" s="50" t="e">
        <f t="shared" ca="1" si="265"/>
        <v>#N/A</v>
      </c>
      <c r="Q326" s="534" t="e">
        <f ca="1">IF(O326=1,δ_0*(SLOPE(INDIRECT(VLOOKUP(S326,$S$320:$X$332,5,FALSE)),INDIRECT(VLOOKUP(S326,$S$320:$X$332,6,FALSE)))-SLOPE(INDIRECT(VLOOKUP(S326-1,$S$320:$X$332,5,FALSE)),INDIRECT(VLOOKUP(S326-1,$S$320:$X$332,6,FALSE)))),0)*86400*VLOOKUP($L$317,Aux!$AL$72:$AN$83,3,FALSE)</f>
        <v>#N/A</v>
      </c>
      <c r="R326" s="534">
        <f t="shared" ca="1" si="271"/>
        <v>0</v>
      </c>
      <c r="S326" s="535" cm="1">
        <f t="array" aca="1" ref="S326" ca="1">SUM(IF(ISNUMBER(T$320:T326),1,0))+IF($J326&gt;Capas_VN_C1,1,0)</f>
        <v>4</v>
      </c>
      <c r="T326" s="50" t="e">
        <f t="shared" ca="1" si="266"/>
        <v>#N/A</v>
      </c>
      <c r="U326" s="50" t="e">
        <f t="shared" ca="1" si="267"/>
        <v>#N/A</v>
      </c>
      <c r="V326" s="50" t="e">
        <f t="shared" ca="1" si="268"/>
        <v>#N/A</v>
      </c>
      <c r="W326" s="50" t="str">
        <f t="shared" ca="1" si="269"/>
        <v>$U$323:$U$324</v>
      </c>
      <c r="X326" s="214" t="str">
        <f t="shared" ca="1" si="270"/>
        <v>$V$323:$V$324</v>
      </c>
      <c r="Y326" s="50"/>
      <c r="Z326" s="50"/>
      <c r="AA326" s="214"/>
      <c r="AB326" s="51"/>
      <c r="AC326" s="51"/>
      <c r="AD326" s="51"/>
      <c r="AE326" s="48"/>
      <c r="AF326" s="48"/>
      <c r="AG326" s="50"/>
      <c r="AH326" s="50"/>
      <c r="AI326" s="51"/>
      <c r="AJ326" s="50"/>
      <c r="AK326" s="55"/>
      <c r="AL326" s="55"/>
      <c r="AM326" s="51"/>
      <c r="AN326" s="51"/>
      <c r="AO326" s="51"/>
      <c r="AP326" s="48"/>
      <c r="AQ326" s="48"/>
      <c r="AR326" s="50"/>
      <c r="AS326" s="50"/>
      <c r="AT326" s="51"/>
      <c r="AU326" s="50"/>
      <c r="AV326" s="55"/>
      <c r="AW326" s="55"/>
      <c r="AX326" s="50"/>
      <c r="AY326" s="51"/>
      <c r="AZ326" s="51"/>
      <c r="BA326" s="48"/>
      <c r="BB326" s="48"/>
      <c r="BC326" s="50"/>
      <c r="BD326" s="50"/>
      <c r="BP326" s="53"/>
      <c r="BQ326" s="52"/>
      <c r="BR326" s="54"/>
      <c r="BS326" s="50"/>
      <c r="BT326" s="55"/>
      <c r="BU326" s="55"/>
      <c r="BV326" s="51"/>
      <c r="BW326" s="51"/>
      <c r="BX326" s="51"/>
      <c r="BY326" s="48"/>
      <c r="BZ326" s="48"/>
      <c r="CA326" s="50"/>
      <c r="CB326" s="52"/>
      <c r="CC326" s="54"/>
      <c r="CD326" s="50"/>
      <c r="CE326" s="55"/>
      <c r="CF326" s="55"/>
      <c r="CG326" s="51"/>
      <c r="CH326" s="51"/>
      <c r="CI326" s="51"/>
      <c r="CJ326" s="48"/>
      <c r="CK326" s="48"/>
      <c r="CL326" s="50"/>
      <c r="CM326" s="52"/>
      <c r="CN326" s="54"/>
      <c r="CO326" s="50"/>
      <c r="CP326" s="55"/>
      <c r="CQ326" s="55"/>
      <c r="CR326" s="51"/>
      <c r="CS326" s="51"/>
      <c r="CT326" s="51"/>
      <c r="CU326" s="48"/>
      <c r="CV326" s="48"/>
      <c r="CW326" s="50"/>
      <c r="CX326" s="50"/>
      <c r="CY326" s="54"/>
      <c r="CZ326" s="50"/>
      <c r="DA326" s="55"/>
      <c r="DB326" s="55"/>
      <c r="DC326" s="50"/>
      <c r="DD326" s="51"/>
      <c r="DE326" s="51"/>
      <c r="DF326" s="48"/>
      <c r="DG326" s="48"/>
      <c r="DH326" s="50"/>
      <c r="DI326" s="52"/>
    </row>
    <row r="327" spans="10:113" x14ac:dyDescent="0.25">
      <c r="J327" s="15">
        <v>7</v>
      </c>
      <c r="K327" s="53" t="e">
        <v>#N/A</v>
      </c>
      <c r="L327" s="47" t="e">
        <v>#N/A</v>
      </c>
      <c r="M327" s="54" t="e">
        <v>#N/A</v>
      </c>
      <c r="N327" s="50" t="e">
        <v>#N/A</v>
      </c>
      <c r="O327" s="55" t="e">
        <f ca="1"/>
        <v>#N/A</v>
      </c>
      <c r="P327" s="50" t="e">
        <f t="shared" ca="1" si="265"/>
        <v>#N/A</v>
      </c>
      <c r="Q327" s="534" t="e">
        <f ca="1">IF(O327=1,δ_0*(SLOPE(INDIRECT(VLOOKUP(S327,$S$320:$X$332,5,FALSE)),INDIRECT(VLOOKUP(S327,$S$320:$X$332,6,FALSE)))-SLOPE(INDIRECT(VLOOKUP(S327-1,$S$320:$X$332,5,FALSE)),INDIRECT(VLOOKUP(S327-1,$S$320:$X$332,6,FALSE)))),0)*86400*VLOOKUP($L$317,Aux!$AL$72:$AN$83,3,FALSE)</f>
        <v>#N/A</v>
      </c>
      <c r="R327" s="534">
        <f t="shared" ca="1" si="271"/>
        <v>0</v>
      </c>
      <c r="S327" s="535" cm="1">
        <f t="array" aca="1" ref="S327" ca="1">SUM(IF(ISNUMBER(T$320:T327),1,0))+IF($J327&gt;Capas_VN_C1,1,0)</f>
        <v>4</v>
      </c>
      <c r="T327" s="50" t="e">
        <f t="shared" ca="1" si="266"/>
        <v>#N/A</v>
      </c>
      <c r="U327" s="50" t="e">
        <f t="shared" ca="1" si="267"/>
        <v>#N/A</v>
      </c>
      <c r="V327" s="50" t="e">
        <f t="shared" ca="1" si="268"/>
        <v>#N/A</v>
      </c>
      <c r="W327" s="50" t="str">
        <f t="shared" ca="1" si="269"/>
        <v>$U$323:$U$324</v>
      </c>
      <c r="X327" s="214" t="str">
        <f t="shared" ca="1" si="270"/>
        <v>$V$323:$V$324</v>
      </c>
      <c r="Y327" s="50"/>
      <c r="Z327" s="50"/>
      <c r="AA327" s="214"/>
      <c r="AB327" s="51"/>
      <c r="AC327" s="51"/>
      <c r="AD327" s="51"/>
      <c r="AE327" s="48"/>
      <c r="AF327" s="48"/>
      <c r="AG327" s="50"/>
      <c r="AH327" s="50"/>
      <c r="AI327" s="51"/>
      <c r="AJ327" s="50"/>
      <c r="AK327" s="55"/>
      <c r="AL327" s="55"/>
      <c r="AM327" s="51"/>
      <c r="AN327" s="51"/>
      <c r="AO327" s="51"/>
      <c r="AP327" s="48"/>
      <c r="AQ327" s="48"/>
      <c r="AR327" s="50"/>
      <c r="AS327" s="50"/>
      <c r="AT327" s="51"/>
      <c r="AU327" s="50"/>
      <c r="AV327" s="55"/>
      <c r="AW327" s="55"/>
      <c r="AX327" s="50"/>
      <c r="AY327" s="51"/>
      <c r="AZ327" s="51"/>
      <c r="BA327" s="48"/>
      <c r="BB327" s="48"/>
      <c r="BC327" s="50"/>
      <c r="BD327" s="50"/>
      <c r="BP327" s="53"/>
      <c r="BQ327" s="52"/>
      <c r="BR327" s="54"/>
      <c r="BS327" s="50"/>
      <c r="BT327" s="55"/>
      <c r="BU327" s="55"/>
      <c r="BV327" s="51"/>
      <c r="BW327" s="51"/>
      <c r="BX327" s="51"/>
      <c r="BY327" s="48"/>
      <c r="BZ327" s="48"/>
      <c r="CA327" s="50"/>
      <c r="CB327" s="52"/>
      <c r="CC327" s="54"/>
      <c r="CD327" s="50"/>
      <c r="CE327" s="55"/>
      <c r="CF327" s="55"/>
      <c r="CG327" s="51"/>
      <c r="CH327" s="51"/>
      <c r="CI327" s="51"/>
      <c r="CJ327" s="48"/>
      <c r="CK327" s="48"/>
      <c r="CL327" s="50"/>
      <c r="CM327" s="52"/>
      <c r="CN327" s="54"/>
      <c r="CO327" s="50"/>
      <c r="CP327" s="55"/>
      <c r="CQ327" s="55"/>
      <c r="CR327" s="51"/>
      <c r="CS327" s="51"/>
      <c r="CT327" s="51"/>
      <c r="CU327" s="48"/>
      <c r="CV327" s="48"/>
      <c r="CW327" s="50"/>
      <c r="CX327" s="50"/>
      <c r="CY327" s="54"/>
      <c r="CZ327" s="50"/>
      <c r="DA327" s="55"/>
      <c r="DB327" s="55"/>
      <c r="DC327" s="50"/>
      <c r="DD327" s="51"/>
      <c r="DE327" s="51"/>
      <c r="DF327" s="48"/>
      <c r="DG327" s="48"/>
      <c r="DH327" s="50"/>
      <c r="DI327" s="52"/>
    </row>
    <row r="328" spans="10:113" x14ac:dyDescent="0.25">
      <c r="J328" s="15">
        <v>8</v>
      </c>
      <c r="K328" s="53" t="e">
        <v>#N/A</v>
      </c>
      <c r="L328" s="47" t="e">
        <v>#N/A</v>
      </c>
      <c r="M328" s="54" t="e">
        <v>#N/A</v>
      </c>
      <c r="N328" s="50" t="e">
        <v>#N/A</v>
      </c>
      <c r="O328" s="55" t="e">
        <f ca="1"/>
        <v>#N/A</v>
      </c>
      <c r="P328" s="50" t="e">
        <f t="shared" ca="1" si="265"/>
        <v>#N/A</v>
      </c>
      <c r="Q328" s="534" t="e">
        <f ca="1">IF(O328=1,δ_0*(SLOPE(INDIRECT(VLOOKUP(S328,$S$320:$X$332,5,FALSE)),INDIRECT(VLOOKUP(S328,$S$320:$X$332,6,FALSE)))-SLOPE(INDIRECT(VLOOKUP(S328-1,$S$320:$X$332,5,FALSE)),INDIRECT(VLOOKUP(S328-1,$S$320:$X$332,6,FALSE)))),0)*86400*VLOOKUP($L$317,Aux!$AL$72:$AN$83,3,FALSE)</f>
        <v>#N/A</v>
      </c>
      <c r="R328" s="534">
        <f t="shared" ca="1" si="271"/>
        <v>0</v>
      </c>
      <c r="S328" s="535" cm="1">
        <f t="array" aca="1" ref="S328" ca="1">SUM(IF(ISNUMBER(T$320:T328),1,0))+IF($J328&gt;Capas_VN_C1,1,0)</f>
        <v>4</v>
      </c>
      <c r="T328" s="50" t="e">
        <f t="shared" ca="1" si="266"/>
        <v>#N/A</v>
      </c>
      <c r="U328" s="50" t="e">
        <f t="shared" ca="1" si="267"/>
        <v>#N/A</v>
      </c>
      <c r="V328" s="50" t="e">
        <f t="shared" ca="1" si="268"/>
        <v>#N/A</v>
      </c>
      <c r="W328" s="50" t="str">
        <f t="shared" ca="1" si="269"/>
        <v>$U$323:$U$324</v>
      </c>
      <c r="X328" s="214" t="str">
        <f t="shared" ca="1" si="270"/>
        <v>$V$323:$V$324</v>
      </c>
      <c r="Y328" s="50"/>
      <c r="Z328" s="50"/>
      <c r="AA328" s="214"/>
      <c r="AB328" s="51"/>
      <c r="AC328" s="51"/>
      <c r="AD328" s="51"/>
      <c r="AE328" s="48"/>
      <c r="AF328" s="48"/>
      <c r="AG328" s="50"/>
      <c r="AH328" s="50"/>
      <c r="AI328" s="51"/>
      <c r="AJ328" s="50"/>
      <c r="AK328" s="55"/>
      <c r="AL328" s="55"/>
      <c r="AM328" s="51"/>
      <c r="AN328" s="51"/>
      <c r="AO328" s="51"/>
      <c r="AP328" s="48"/>
      <c r="AQ328" s="48"/>
      <c r="AR328" s="50"/>
      <c r="AS328" s="50"/>
      <c r="AT328" s="51"/>
      <c r="AU328" s="50"/>
      <c r="AV328" s="55"/>
      <c r="AW328" s="55"/>
      <c r="AX328" s="50"/>
      <c r="AY328" s="51"/>
      <c r="AZ328" s="51"/>
      <c r="BA328" s="48"/>
      <c r="BB328" s="48"/>
      <c r="BC328" s="50"/>
      <c r="BD328" s="50"/>
      <c r="BP328" s="53"/>
      <c r="BQ328" s="52"/>
      <c r="BR328" s="54"/>
      <c r="BS328" s="50"/>
      <c r="BT328" s="55"/>
      <c r="BU328" s="55"/>
      <c r="BV328" s="51"/>
      <c r="BW328" s="51"/>
      <c r="BX328" s="51"/>
      <c r="BY328" s="48"/>
      <c r="BZ328" s="48"/>
      <c r="CA328" s="50"/>
      <c r="CB328" s="52"/>
      <c r="CC328" s="54"/>
      <c r="CD328" s="50"/>
      <c r="CE328" s="55"/>
      <c r="CF328" s="55"/>
      <c r="CG328" s="51"/>
      <c r="CH328" s="51"/>
      <c r="CI328" s="51"/>
      <c r="CJ328" s="48"/>
      <c r="CK328" s="48"/>
      <c r="CL328" s="50"/>
      <c r="CM328" s="52"/>
      <c r="CN328" s="54"/>
      <c r="CO328" s="50"/>
      <c r="CP328" s="55"/>
      <c r="CQ328" s="55"/>
      <c r="CR328" s="51"/>
      <c r="CS328" s="51"/>
      <c r="CT328" s="51"/>
      <c r="CU328" s="48"/>
      <c r="CV328" s="48"/>
      <c r="CW328" s="50"/>
      <c r="CX328" s="50"/>
      <c r="CY328" s="54"/>
      <c r="CZ328" s="50"/>
      <c r="DA328" s="55"/>
      <c r="DB328" s="55"/>
      <c r="DC328" s="50"/>
      <c r="DD328" s="51"/>
      <c r="DE328" s="51"/>
      <c r="DF328" s="48"/>
      <c r="DG328" s="48"/>
      <c r="DH328" s="50"/>
      <c r="DI328" s="52"/>
    </row>
    <row r="329" spans="10:113" x14ac:dyDescent="0.25">
      <c r="J329" s="15">
        <v>9</v>
      </c>
      <c r="K329" s="53" t="e">
        <v>#N/A</v>
      </c>
      <c r="L329" s="47" t="e">
        <v>#N/A</v>
      </c>
      <c r="M329" s="54" t="e">
        <v>#N/A</v>
      </c>
      <c r="N329" s="50" t="e">
        <v>#N/A</v>
      </c>
      <c r="O329" s="55" t="e">
        <f ca="1"/>
        <v>#N/A</v>
      </c>
      <c r="P329" s="50" t="e">
        <f t="shared" ca="1" si="265"/>
        <v>#N/A</v>
      </c>
      <c r="Q329" s="534" t="e">
        <f ca="1">IF(O329=1,δ_0*(SLOPE(INDIRECT(VLOOKUP(S329,$S$320:$X$332,5,FALSE)),INDIRECT(VLOOKUP(S329,$S$320:$X$332,6,FALSE)))-SLOPE(INDIRECT(VLOOKUP(S329-1,$S$320:$X$332,5,FALSE)),INDIRECT(VLOOKUP(S329-1,$S$320:$X$332,6,FALSE)))),0)*86400*VLOOKUP($L$317,Aux!$AL$72:$AN$83,3,FALSE)</f>
        <v>#N/A</v>
      </c>
      <c r="R329" s="534">
        <f t="shared" ca="1" si="271"/>
        <v>0</v>
      </c>
      <c r="S329" s="535" cm="1">
        <f t="array" aca="1" ref="S329" ca="1">SUM(IF(ISNUMBER(T$320:T329),1,0))+IF($J329&gt;Capas_VN_C1,1,0)</f>
        <v>4</v>
      </c>
      <c r="T329" s="50" t="e">
        <f t="shared" ca="1" si="266"/>
        <v>#N/A</v>
      </c>
      <c r="U329" s="50" t="e">
        <f t="shared" ca="1" si="267"/>
        <v>#N/A</v>
      </c>
      <c r="V329" s="50" t="e">
        <f t="shared" ca="1" si="268"/>
        <v>#N/A</v>
      </c>
      <c r="W329" s="50" t="str">
        <f t="shared" ca="1" si="269"/>
        <v>$U$323:$U$324</v>
      </c>
      <c r="X329" s="214" t="str">
        <f t="shared" ca="1" si="270"/>
        <v>$V$323:$V$324</v>
      </c>
      <c r="Y329" s="50"/>
      <c r="Z329" s="50"/>
      <c r="AA329" s="214"/>
      <c r="AB329" s="51"/>
      <c r="AC329" s="51"/>
      <c r="AD329" s="51"/>
      <c r="AE329" s="48"/>
      <c r="AF329" s="48"/>
      <c r="AG329" s="50"/>
      <c r="AH329" s="50"/>
      <c r="AI329" s="51"/>
      <c r="AJ329" s="50"/>
      <c r="AK329" s="55"/>
      <c r="AL329" s="55"/>
      <c r="AM329" s="51"/>
      <c r="AN329" s="51"/>
      <c r="AO329" s="51"/>
      <c r="AP329" s="48"/>
      <c r="AQ329" s="48"/>
      <c r="AR329" s="50"/>
      <c r="AS329" s="50"/>
      <c r="AT329" s="51"/>
      <c r="AU329" s="50"/>
      <c r="AV329" s="55"/>
      <c r="AW329" s="55"/>
      <c r="AX329" s="50"/>
      <c r="AY329" s="51"/>
      <c r="AZ329" s="51"/>
      <c r="BA329" s="48"/>
      <c r="BB329" s="48"/>
      <c r="BC329" s="50"/>
      <c r="BD329" s="50"/>
      <c r="BP329" s="53"/>
      <c r="BQ329" s="52"/>
      <c r="BR329" s="54"/>
      <c r="BS329" s="50"/>
      <c r="BT329" s="55"/>
      <c r="BU329" s="55"/>
      <c r="BV329" s="51"/>
      <c r="BW329" s="51"/>
      <c r="BX329" s="51"/>
      <c r="BY329" s="48"/>
      <c r="BZ329" s="48"/>
      <c r="CA329" s="50"/>
      <c r="CB329" s="52"/>
      <c r="CC329" s="54"/>
      <c r="CD329" s="50"/>
      <c r="CE329" s="55"/>
      <c r="CF329" s="55"/>
      <c r="CG329" s="51"/>
      <c r="CH329" s="51"/>
      <c r="CI329" s="51"/>
      <c r="CJ329" s="48"/>
      <c r="CK329" s="48"/>
      <c r="CL329" s="50"/>
      <c r="CM329" s="52"/>
      <c r="CN329" s="54"/>
      <c r="CO329" s="50"/>
      <c r="CP329" s="55"/>
      <c r="CQ329" s="55"/>
      <c r="CR329" s="51"/>
      <c r="CS329" s="51"/>
      <c r="CT329" s="51"/>
      <c r="CU329" s="48"/>
      <c r="CV329" s="48"/>
      <c r="CW329" s="50"/>
      <c r="CX329" s="50"/>
      <c r="CY329" s="54"/>
      <c r="CZ329" s="50"/>
      <c r="DA329" s="55"/>
      <c r="DB329" s="55"/>
      <c r="DC329" s="50"/>
      <c r="DD329" s="51"/>
      <c r="DE329" s="51"/>
      <c r="DF329" s="48"/>
      <c r="DG329" s="48"/>
      <c r="DH329" s="50"/>
      <c r="DI329" s="52"/>
    </row>
    <row r="330" spans="10:113" x14ac:dyDescent="0.25">
      <c r="J330" s="15">
        <v>10</v>
      </c>
      <c r="K330" s="53" t="e">
        <v>#N/A</v>
      </c>
      <c r="L330" s="47" t="e">
        <v>#N/A</v>
      </c>
      <c r="M330" s="54" t="e">
        <v>#N/A</v>
      </c>
      <c r="N330" s="50" t="e">
        <v>#N/A</v>
      </c>
      <c r="O330" s="55" t="e">
        <f ca="1"/>
        <v>#N/A</v>
      </c>
      <c r="P330" s="50" t="e">
        <f t="shared" ca="1" si="265"/>
        <v>#N/A</v>
      </c>
      <c r="Q330" s="534" t="e">
        <f ca="1">IF(O330=1,δ_0*(SLOPE(INDIRECT(VLOOKUP(S330,$S$320:$X$332,5,FALSE)),INDIRECT(VLOOKUP(S330,$S$320:$X$332,6,FALSE)))-SLOPE(INDIRECT(VLOOKUP(S330-1,$S$320:$X$332,5,FALSE)),INDIRECT(VLOOKUP(S330-1,$S$320:$X$332,6,FALSE)))),0)*86400*VLOOKUP($L$317,Aux!$AL$72:$AN$83,3,FALSE)</f>
        <v>#N/A</v>
      </c>
      <c r="R330" s="534">
        <f t="shared" ca="1" si="271"/>
        <v>0</v>
      </c>
      <c r="S330" s="535" cm="1">
        <f t="array" aca="1" ref="S330" ca="1">SUM(IF(ISNUMBER(T$320:T330),1,0))+IF($J330&gt;Capas_VN_C1,1,0)</f>
        <v>4</v>
      </c>
      <c r="T330" s="50" t="e">
        <f t="shared" ca="1" si="266"/>
        <v>#N/A</v>
      </c>
      <c r="U330" s="50" t="e">
        <f t="shared" ca="1" si="267"/>
        <v>#N/A</v>
      </c>
      <c r="V330" s="50" t="e">
        <f t="shared" ca="1" si="268"/>
        <v>#N/A</v>
      </c>
      <c r="W330" s="50" t="str">
        <f t="shared" ca="1" si="269"/>
        <v>$U$323:$U$324</v>
      </c>
      <c r="X330" s="214" t="str">
        <f t="shared" ca="1" si="270"/>
        <v>$V$323:$V$324</v>
      </c>
      <c r="Y330" s="50"/>
      <c r="Z330" s="50"/>
      <c r="AA330" s="214"/>
      <c r="AB330" s="51"/>
      <c r="AC330" s="51"/>
      <c r="AD330" s="51"/>
      <c r="AE330" s="48"/>
      <c r="AF330" s="48"/>
      <c r="AG330" s="50"/>
      <c r="AH330" s="50"/>
      <c r="AI330" s="51"/>
      <c r="AJ330" s="50"/>
      <c r="AK330" s="55"/>
      <c r="AL330" s="55"/>
      <c r="AM330" s="51"/>
      <c r="AN330" s="51"/>
      <c r="AO330" s="51"/>
      <c r="AP330" s="48"/>
      <c r="AQ330" s="48"/>
      <c r="AR330" s="50"/>
      <c r="AS330" s="50"/>
      <c r="AT330" s="51"/>
      <c r="AU330" s="50"/>
      <c r="AV330" s="55"/>
      <c r="AW330" s="55"/>
      <c r="AX330" s="50"/>
      <c r="AY330" s="51"/>
      <c r="AZ330" s="51"/>
      <c r="BA330" s="48"/>
      <c r="BB330" s="48"/>
      <c r="BC330" s="50"/>
      <c r="BD330" s="50"/>
      <c r="BP330" s="53"/>
      <c r="BQ330" s="52"/>
      <c r="BR330" s="54"/>
      <c r="BS330" s="50"/>
      <c r="BT330" s="55"/>
      <c r="BU330" s="55"/>
      <c r="BV330" s="51"/>
      <c r="BW330" s="51"/>
      <c r="BX330" s="51"/>
      <c r="BY330" s="48"/>
      <c r="BZ330" s="48"/>
      <c r="CA330" s="50"/>
      <c r="CB330" s="52"/>
      <c r="CC330" s="54"/>
      <c r="CD330" s="50"/>
      <c r="CE330" s="55"/>
      <c r="CF330" s="55"/>
      <c r="CG330" s="51"/>
      <c r="CH330" s="51"/>
      <c r="CI330" s="51"/>
      <c r="CJ330" s="48"/>
      <c r="CK330" s="48"/>
      <c r="CL330" s="50"/>
      <c r="CM330" s="52"/>
      <c r="CN330" s="54"/>
      <c r="CO330" s="50"/>
      <c r="CP330" s="55"/>
      <c r="CQ330" s="55"/>
      <c r="CR330" s="51"/>
      <c r="CS330" s="51"/>
      <c r="CT330" s="51"/>
      <c r="CU330" s="48"/>
      <c r="CV330" s="48"/>
      <c r="CW330" s="50"/>
      <c r="CX330" s="50"/>
      <c r="CY330" s="54"/>
      <c r="CZ330" s="50"/>
      <c r="DA330" s="55"/>
      <c r="DB330" s="55"/>
      <c r="DC330" s="50"/>
      <c r="DD330" s="51"/>
      <c r="DE330" s="51"/>
      <c r="DF330" s="48"/>
      <c r="DG330" s="48"/>
      <c r="DH330" s="50"/>
      <c r="DI330" s="52"/>
    </row>
    <row r="331" spans="10:113" x14ac:dyDescent="0.25">
      <c r="J331" s="15">
        <v>11</v>
      </c>
      <c r="K331" s="53" t="e">
        <v>#N/A</v>
      </c>
      <c r="L331" s="47" t="e">
        <v>#N/A</v>
      </c>
      <c r="M331" s="54" t="e">
        <v>#N/A</v>
      </c>
      <c r="N331" s="50" t="e">
        <v>#N/A</v>
      </c>
      <c r="O331" s="55" t="e">
        <f ca="1"/>
        <v>#N/A</v>
      </c>
      <c r="P331" s="50" t="e">
        <f t="shared" ca="1" si="265"/>
        <v>#N/A</v>
      </c>
      <c r="Q331" s="534" t="e">
        <f ca="1">IF(O331=1,δ_0*(SLOPE(INDIRECT(VLOOKUP(S331,$S$320:$X$332,5,FALSE)),INDIRECT(VLOOKUP(S331,$S$320:$X$332,6,FALSE)))-SLOPE(INDIRECT(VLOOKUP(S331-1,$S$320:$X$332,5,FALSE)),INDIRECT(VLOOKUP(S331-1,$S$320:$X$332,6,FALSE)))),0)*86400*VLOOKUP($L$317,Aux!$AL$72:$AN$83,3,FALSE)</f>
        <v>#N/A</v>
      </c>
      <c r="R331" s="534">
        <f t="shared" ca="1" si="271"/>
        <v>0</v>
      </c>
      <c r="S331" s="535" cm="1">
        <f t="array" aca="1" ref="S331" ca="1">SUM(IF(ISNUMBER(T$320:T331),1,0))+IF($J331&gt;Capas_VN_C1,1,0)</f>
        <v>4</v>
      </c>
      <c r="T331" s="50" t="e">
        <f t="shared" ca="1" si="266"/>
        <v>#N/A</v>
      </c>
      <c r="U331" s="50" t="e">
        <f t="shared" ca="1" si="267"/>
        <v>#N/A</v>
      </c>
      <c r="V331" s="50" t="e">
        <f t="shared" ca="1" si="268"/>
        <v>#N/A</v>
      </c>
      <c r="W331" s="50" t="str">
        <f t="shared" ca="1" si="269"/>
        <v>$U$323:$U$324</v>
      </c>
      <c r="X331" s="214" t="str">
        <f t="shared" ca="1" si="270"/>
        <v>$V$323:$V$324</v>
      </c>
      <c r="Y331" s="50"/>
      <c r="Z331" s="50"/>
      <c r="AA331" s="214"/>
      <c r="AB331" s="51"/>
      <c r="AC331" s="51"/>
      <c r="AD331" s="51"/>
      <c r="AE331" s="48"/>
      <c r="AF331" s="48"/>
      <c r="AG331" s="50"/>
      <c r="AH331" s="50"/>
      <c r="AI331" s="51"/>
      <c r="AJ331" s="50"/>
      <c r="AK331" s="55"/>
      <c r="AL331" s="55"/>
      <c r="AM331" s="51"/>
      <c r="AN331" s="51"/>
      <c r="AO331" s="51"/>
      <c r="AP331" s="48"/>
      <c r="AQ331" s="48"/>
      <c r="AR331" s="50"/>
      <c r="AS331" s="50"/>
      <c r="AT331" s="51"/>
      <c r="AU331" s="50"/>
      <c r="AV331" s="55"/>
      <c r="AW331" s="55"/>
      <c r="AX331" s="50"/>
      <c r="AY331" s="51"/>
      <c r="AZ331" s="51"/>
      <c r="BA331" s="48"/>
      <c r="BB331" s="48"/>
      <c r="BC331" s="50"/>
      <c r="BD331" s="50"/>
      <c r="BP331" s="53"/>
      <c r="BQ331" s="52"/>
      <c r="BR331" s="54"/>
      <c r="BS331" s="50"/>
      <c r="BT331" s="55"/>
      <c r="BU331" s="55"/>
      <c r="BV331" s="51"/>
      <c r="BW331" s="51"/>
      <c r="BX331" s="51"/>
      <c r="BY331" s="48"/>
      <c r="BZ331" s="48"/>
      <c r="CA331" s="50"/>
      <c r="CB331" s="52"/>
      <c r="CC331" s="54"/>
      <c r="CD331" s="50"/>
      <c r="CE331" s="55"/>
      <c r="CF331" s="55"/>
      <c r="CG331" s="51"/>
      <c r="CH331" s="51"/>
      <c r="CI331" s="51"/>
      <c r="CJ331" s="48"/>
      <c r="CK331" s="48"/>
      <c r="CL331" s="50"/>
      <c r="CM331" s="52"/>
      <c r="CN331" s="54"/>
      <c r="CO331" s="50"/>
      <c r="CP331" s="55"/>
      <c r="CQ331" s="55"/>
      <c r="CR331" s="51"/>
      <c r="CS331" s="51"/>
      <c r="CT331" s="51"/>
      <c r="CU331" s="48"/>
      <c r="CV331" s="48"/>
      <c r="CW331" s="50"/>
      <c r="CX331" s="50"/>
      <c r="CY331" s="54"/>
      <c r="CZ331" s="50"/>
      <c r="DA331" s="55"/>
      <c r="DB331" s="55"/>
      <c r="DC331" s="50"/>
      <c r="DD331" s="51"/>
      <c r="DE331" s="51"/>
      <c r="DF331" s="48"/>
      <c r="DG331" s="48"/>
      <c r="DH331" s="50"/>
      <c r="DI331" s="52"/>
    </row>
    <row r="332" spans="10:113" x14ac:dyDescent="0.25">
      <c r="J332" s="517">
        <v>12</v>
      </c>
      <c r="K332" s="53" t="e">
        <v>#N/A</v>
      </c>
      <c r="L332" s="47" t="e">
        <v>#N/A</v>
      </c>
      <c r="M332" s="54" t="e">
        <v>#N/A</v>
      </c>
      <c r="N332" s="50" t="e">
        <v>#N/A</v>
      </c>
      <c r="O332" s="55" t="e">
        <f ca="1"/>
        <v>#N/A</v>
      </c>
      <c r="P332" s="50" t="e">
        <f t="shared" ca="1" si="265"/>
        <v>#N/A</v>
      </c>
      <c r="Q332" s="534" t="e">
        <f ca="1">IF(O332=1,δ_0*(SLOPE(INDIRECT(VLOOKUP(S332,$S$320:$X$332,5,FALSE)),INDIRECT(VLOOKUP(S332,$S$320:$X$332,6,FALSE)))-SLOPE(INDIRECT(VLOOKUP(S332-1,$S$320:$X$332,5,FALSE)),INDIRECT(VLOOKUP(S332-1,$S$320:$X$332,6,FALSE)))),0)*86400*VLOOKUP($L$317,Aux!$AL$72:$AN$83,3,FALSE)</f>
        <v>#N/A</v>
      </c>
      <c r="R332" s="534">
        <f t="shared" ca="1" si="271"/>
        <v>0</v>
      </c>
      <c r="S332" s="535" cm="1">
        <f t="array" aca="1" ref="S332" ca="1">SUM(IF(ISNUMBER(T$320:T332),1,0))+IF($J332&gt;Capas_VN_C1,1,0)</f>
        <v>4</v>
      </c>
      <c r="T332" s="50" t="e">
        <f t="shared" ca="1" si="266"/>
        <v>#N/A</v>
      </c>
      <c r="U332" s="50" t="e">
        <f t="shared" ca="1" si="267"/>
        <v>#N/A</v>
      </c>
      <c r="V332" s="50" t="e">
        <f t="shared" ca="1" si="268"/>
        <v>#N/A</v>
      </c>
      <c r="W332" s="50" t="str">
        <f t="shared" ca="1" si="269"/>
        <v>$U$323:$U$324</v>
      </c>
      <c r="X332" s="214" t="str">
        <f t="shared" ca="1" si="270"/>
        <v>$V$323:$V$324</v>
      </c>
      <c r="Y332" s="50"/>
      <c r="Z332" s="50"/>
      <c r="AA332" s="214"/>
      <c r="AB332" s="51"/>
      <c r="AC332" s="51"/>
      <c r="AD332" s="51"/>
      <c r="AE332" s="48"/>
      <c r="AF332" s="48"/>
      <c r="AG332" s="50"/>
      <c r="AH332" s="50"/>
      <c r="AI332" s="51"/>
      <c r="AJ332" s="50"/>
      <c r="AK332" s="55"/>
      <c r="AL332" s="55"/>
      <c r="AM332" s="51"/>
      <c r="AN332" s="51"/>
      <c r="AO332" s="51"/>
      <c r="AP332" s="48"/>
      <c r="AQ332" s="48"/>
      <c r="AR332" s="50"/>
      <c r="AS332" s="50"/>
      <c r="AT332" s="51"/>
      <c r="AU332" s="50"/>
      <c r="AV332" s="55"/>
      <c r="AW332" s="55"/>
      <c r="AX332" s="50"/>
      <c r="AY332" s="51"/>
      <c r="AZ332" s="51"/>
      <c r="BA332" s="48"/>
      <c r="BB332" s="48"/>
      <c r="BC332" s="50"/>
      <c r="BD332" s="50"/>
      <c r="BP332" s="53"/>
      <c r="BQ332" s="52"/>
      <c r="BR332" s="54"/>
      <c r="BS332" s="50"/>
      <c r="BT332" s="55"/>
      <c r="BU332" s="55"/>
      <c r="BV332" s="51"/>
      <c r="BW332" s="51"/>
      <c r="BX332" s="51"/>
      <c r="BY332" s="48"/>
      <c r="BZ332" s="48"/>
      <c r="CA332" s="50"/>
      <c r="CB332" s="52"/>
      <c r="CC332" s="54"/>
      <c r="CD332" s="50"/>
      <c r="CE332" s="55"/>
      <c r="CF332" s="55"/>
      <c r="CG332" s="51"/>
      <c r="CH332" s="51"/>
      <c r="CI332" s="51"/>
      <c r="CJ332" s="48"/>
      <c r="CK332" s="48"/>
      <c r="CL332" s="50"/>
      <c r="CM332" s="52"/>
      <c r="CN332" s="54"/>
      <c r="CO332" s="50"/>
      <c r="CP332" s="55"/>
      <c r="CQ332" s="55"/>
      <c r="CR332" s="51"/>
      <c r="CS332" s="51"/>
      <c r="CT332" s="51"/>
      <c r="CU332" s="48"/>
      <c r="CV332" s="48"/>
      <c r="CW332" s="50"/>
      <c r="CX332" s="50"/>
      <c r="CY332" s="54"/>
      <c r="CZ332" s="50"/>
      <c r="DA332" s="55"/>
      <c r="DB332" s="55"/>
      <c r="DC332" s="50"/>
      <c r="DD332" s="51"/>
      <c r="DE332" s="51"/>
      <c r="DF332" s="48"/>
      <c r="DG332" s="48"/>
      <c r="DH332" s="50"/>
      <c r="DI332" s="52"/>
    </row>
    <row r="333" spans="10:113" ht="15.75" thickBot="1" x14ac:dyDescent="0.3">
      <c r="J333" s="517"/>
      <c r="K333" s="53"/>
      <c r="L333" s="52"/>
      <c r="M333" s="62"/>
      <c r="N333" s="65"/>
      <c r="O333" s="65"/>
      <c r="P333" s="58"/>
      <c r="Q333" s="65"/>
      <c r="R333" s="65"/>
      <c r="S333" s="62"/>
      <c r="T333" s="65"/>
      <c r="U333" s="65"/>
      <c r="V333" s="65"/>
      <c r="W333" s="65"/>
      <c r="X333" s="61"/>
      <c r="Y333" s="65"/>
      <c r="Z333" s="65"/>
      <c r="AA333" s="61"/>
      <c r="AB333" s="51"/>
      <c r="AC333" s="51"/>
      <c r="AD333" s="51"/>
      <c r="AE333" s="48"/>
      <c r="AF333" s="48"/>
      <c r="AG333" s="50"/>
      <c r="AH333" s="50"/>
      <c r="AI333" s="51"/>
      <c r="AJ333" s="50"/>
      <c r="AK333" s="55"/>
      <c r="AL333" s="55"/>
      <c r="AM333" s="51"/>
      <c r="AN333" s="51"/>
      <c r="AO333" s="51"/>
      <c r="AP333" s="48"/>
      <c r="AQ333" s="48"/>
      <c r="AR333" s="50"/>
      <c r="AS333" s="50"/>
      <c r="AT333" s="51"/>
      <c r="AU333" s="50"/>
      <c r="AV333" s="55"/>
      <c r="AW333" s="55"/>
      <c r="AX333" s="50"/>
      <c r="AY333" s="51"/>
      <c r="AZ333" s="51"/>
      <c r="BA333" s="48"/>
      <c r="BB333" s="48"/>
      <c r="BC333" s="50"/>
      <c r="BD333" s="50"/>
      <c r="BP333" s="53"/>
      <c r="BQ333" s="52"/>
      <c r="BR333" s="54"/>
      <c r="BS333" s="50"/>
      <c r="BT333" s="55"/>
      <c r="BU333" s="55"/>
      <c r="BV333" s="51"/>
      <c r="BW333" s="51"/>
      <c r="BX333" s="51"/>
      <c r="BY333" s="48"/>
      <c r="BZ333" s="48"/>
      <c r="CA333" s="50"/>
      <c r="CB333" s="52"/>
      <c r="CC333" s="54"/>
      <c r="CD333" s="50"/>
      <c r="CE333" s="55"/>
      <c r="CF333" s="55"/>
      <c r="CG333" s="51"/>
      <c r="CH333" s="51"/>
      <c r="CI333" s="51"/>
      <c r="CJ333" s="48"/>
      <c r="CK333" s="48"/>
      <c r="CL333" s="50"/>
      <c r="CM333" s="52"/>
      <c r="CN333" s="54"/>
      <c r="CO333" s="50"/>
      <c r="CP333" s="55"/>
      <c r="CQ333" s="55"/>
      <c r="CR333" s="51"/>
      <c r="CS333" s="51"/>
      <c r="CT333" s="51"/>
      <c r="CU333" s="48"/>
      <c r="CV333" s="48"/>
      <c r="CW333" s="50"/>
      <c r="CX333" s="50"/>
      <c r="CY333" s="54"/>
      <c r="CZ333" s="50"/>
      <c r="DA333" s="55"/>
      <c r="DB333" s="55"/>
      <c r="DC333" s="50"/>
      <c r="DD333" s="51"/>
      <c r="DE333" s="51"/>
      <c r="DF333" s="48"/>
      <c r="DG333" s="48"/>
      <c r="DH333" s="50"/>
      <c r="DI333" s="52"/>
    </row>
    <row r="334" spans="10:113" ht="15.75" thickBot="1" x14ac:dyDescent="0.3">
      <c r="K334" s="68" t="s">
        <v>145</v>
      </c>
      <c r="L334" s="505">
        <v>15</v>
      </c>
      <c r="M334" s="506" t="s">
        <v>275</v>
      </c>
      <c r="N334" s="507">
        <v>22.5</v>
      </c>
      <c r="O334" s="36" t="s">
        <v>735</v>
      </c>
      <c r="P334" s="513">
        <v>424.12667332492242</v>
      </c>
      <c r="Y334" s="50"/>
      <c r="Z334" s="50"/>
      <c r="AA334" s="55"/>
      <c r="AI334" s="50"/>
      <c r="AK334" s="50"/>
      <c r="AL334" s="55"/>
      <c r="AT334" s="50"/>
      <c r="BP334" s="62"/>
      <c r="BQ334" s="63"/>
      <c r="BR334" s="62"/>
      <c r="BS334" s="65"/>
      <c r="BT334" s="64"/>
      <c r="BU334" s="58"/>
      <c r="BV334" s="58"/>
      <c r="BW334" s="58"/>
      <c r="BX334" s="58"/>
      <c r="BY334" s="58"/>
      <c r="BZ334" s="58"/>
      <c r="CA334" s="58"/>
      <c r="CB334" s="61"/>
      <c r="CC334" s="62"/>
      <c r="CD334" s="65"/>
      <c r="CE334" s="64"/>
      <c r="CF334" s="58"/>
      <c r="CG334" s="58"/>
      <c r="CH334" s="58"/>
      <c r="CI334" s="58"/>
      <c r="CJ334" s="58"/>
      <c r="CK334" s="58"/>
      <c r="CL334" s="58"/>
      <c r="CM334" s="61"/>
      <c r="CN334" s="62"/>
      <c r="CO334" s="58"/>
      <c r="CP334" s="65"/>
      <c r="CQ334" s="64"/>
      <c r="CR334" s="58"/>
      <c r="CS334" s="58"/>
      <c r="CT334" s="58"/>
      <c r="CU334" s="58"/>
      <c r="CV334" s="58"/>
      <c r="CW334" s="58"/>
      <c r="CX334" s="58"/>
      <c r="CY334" s="62"/>
      <c r="CZ334" s="58"/>
      <c r="DA334" s="58"/>
      <c r="DB334" s="58"/>
      <c r="DC334" s="58"/>
      <c r="DD334" s="58"/>
      <c r="DE334" s="58"/>
      <c r="DF334" s="58"/>
      <c r="DG334" s="58"/>
      <c r="DH334" s="58"/>
      <c r="DI334" s="61"/>
    </row>
    <row r="335" spans="10:113" x14ac:dyDescent="0.25">
      <c r="K335" s="75" t="s">
        <v>144</v>
      </c>
      <c r="L335" s="22">
        <v>0.79</v>
      </c>
      <c r="M335" s="80" t="s">
        <v>771</v>
      </c>
      <c r="N335" s="508">
        <v>0.65</v>
      </c>
      <c r="O335" s="68" t="s">
        <v>780</v>
      </c>
      <c r="P335" s="507" t="b">
        <v>0</v>
      </c>
      <c r="U335" s="22"/>
      <c r="V335" s="22"/>
      <c r="Y335" s="22"/>
      <c r="Z335" s="28"/>
      <c r="AA335" s="48"/>
      <c r="AI335" s="22"/>
      <c r="AJ335" s="28"/>
      <c r="AK335" s="48"/>
      <c r="AT335" s="22"/>
      <c r="AU335" s="28"/>
      <c r="AV335" s="48"/>
      <c r="BP335" s="68" t="s">
        <v>144</v>
      </c>
      <c r="BQ335" s="73" t="e">
        <f>IF([0]!Casilla2,φe_H1_C1,VLOOKUP(Seccion1!provincia_C1,datos_humedad_julio[],$L$57+1,FALSE))</f>
        <v>#NAME?</v>
      </c>
      <c r="BR335" s="111"/>
      <c r="BS335" s="77" t="s">
        <v>160</v>
      </c>
      <c r="BT335" s="70"/>
      <c r="BU335" s="38"/>
      <c r="BV335" s="38"/>
      <c r="BW335" s="38"/>
      <c r="BX335" s="38"/>
      <c r="BY335" s="71"/>
      <c r="BZ335" s="71"/>
      <c r="CA335" s="38"/>
      <c r="CB335" s="72"/>
      <c r="CC335" s="111"/>
      <c r="CD335" s="77" t="s">
        <v>160</v>
      </c>
      <c r="CE335" s="67"/>
      <c r="CF335" s="38"/>
      <c r="CG335" s="38"/>
      <c r="CH335" s="38"/>
      <c r="CI335" s="38"/>
      <c r="CJ335" s="38"/>
      <c r="CK335" s="38"/>
      <c r="CL335" s="38"/>
      <c r="CM335" s="72"/>
      <c r="CN335" s="111"/>
      <c r="CO335" s="77" t="s">
        <v>160</v>
      </c>
      <c r="CP335" s="67"/>
      <c r="CQ335" s="38"/>
      <c r="CR335" s="38"/>
      <c r="CS335" s="38"/>
      <c r="CT335" s="38"/>
      <c r="CU335" s="38"/>
      <c r="CV335" s="38"/>
      <c r="CW335" s="38"/>
      <c r="CX335" s="38"/>
      <c r="CY335" s="111"/>
      <c r="CZ335" s="77" t="s">
        <v>160</v>
      </c>
      <c r="DA335" s="67"/>
      <c r="DB335" s="38"/>
      <c r="DC335" s="38"/>
      <c r="DD335" s="38"/>
      <c r="DE335" s="38"/>
      <c r="DF335" s="38"/>
      <c r="DG335" s="38"/>
      <c r="DH335" s="38"/>
      <c r="DI335" s="72"/>
    </row>
    <row r="336" spans="10:113" x14ac:dyDescent="0.25">
      <c r="K336" s="75" t="s">
        <v>108</v>
      </c>
      <c r="L336" s="79">
        <v>1704.407300540305</v>
      </c>
      <c r="M336" s="80" t="s">
        <v>109</v>
      </c>
      <c r="N336" s="78">
        <v>2724.0129857719439</v>
      </c>
      <c r="O336" s="75" t="s">
        <v>782</v>
      </c>
      <c r="P336" s="508">
        <v>0</v>
      </c>
      <c r="U336" s="48"/>
      <c r="V336" s="48"/>
      <c r="Y336" s="82"/>
      <c r="Z336" s="80"/>
      <c r="AA336" s="48"/>
      <c r="AI336" s="82"/>
      <c r="AJ336" s="80"/>
      <c r="AK336" s="48"/>
      <c r="AT336" s="82"/>
      <c r="AU336" s="80"/>
      <c r="AV336" s="48"/>
      <c r="BP336" s="75" t="s">
        <v>145</v>
      </c>
      <c r="BQ336" s="76" t="e">
        <f>IF([0]!Casilla2,φe_H1_C1,VLOOKUP(Seccion1!provincia_C1,datos_temperatura_julio[],$L$57+1,FALSE))</f>
        <v>#NAME?</v>
      </c>
      <c r="BR336" s="112"/>
      <c r="BS336" s="80" t="s">
        <v>162</v>
      </c>
      <c r="BT336" s="17"/>
      <c r="BY336" s="48"/>
      <c r="BZ336" s="48"/>
      <c r="CB336" s="49"/>
      <c r="CC336" s="112"/>
      <c r="CD336" s="80" t="s">
        <v>162</v>
      </c>
      <c r="CE336" s="48"/>
      <c r="CM336" s="49"/>
      <c r="CN336" s="112"/>
      <c r="CO336" s="80" t="s">
        <v>162</v>
      </c>
      <c r="CP336" s="48"/>
      <c r="CY336" s="112"/>
      <c r="CZ336" s="80" t="s">
        <v>162</v>
      </c>
      <c r="DA336" s="48"/>
      <c r="DI336" s="49"/>
    </row>
    <row r="337" spans="10:113" ht="18.75" thickBot="1" x14ac:dyDescent="0.4">
      <c r="K337" s="486" t="s">
        <v>156</v>
      </c>
      <c r="L337" s="509">
        <v>1346.4817674268411</v>
      </c>
      <c r="M337" s="115" t="s">
        <v>781</v>
      </c>
      <c r="N337" s="487">
        <v>1770.6084407517635</v>
      </c>
      <c r="O337" s="75" t="s">
        <v>161</v>
      </c>
      <c r="P337" s="508">
        <v>1.4066939740002602E-11</v>
      </c>
      <c r="Y337" s="79"/>
      <c r="Z337" s="80"/>
      <c r="AA337" s="79"/>
      <c r="AI337" s="79"/>
      <c r="AJ337" s="80"/>
      <c r="AK337" s="79"/>
      <c r="AT337" s="79"/>
      <c r="AU337" s="80"/>
      <c r="AV337" s="79"/>
      <c r="BP337" s="75" t="s">
        <v>108</v>
      </c>
      <c r="BQ337" s="78">
        <f ca="1">IF(ISNUMBER(ϴe_H3_C1),IF(ϴe_H3_C1&gt;=0,610.5*EXP((17.269*ϴe_H3_C1)/(237.3+ϴe_H3_C1)),610.5*EXP((21.875*ϴe_H3_C1)/(265.5+ϴe_H3_C1))),NA())</f>
        <v>871.86452524041533</v>
      </c>
      <c r="BR337" s="113"/>
      <c r="BS337" s="80" t="s">
        <v>125</v>
      </c>
      <c r="BT337" s="79"/>
      <c r="CB337" s="49"/>
      <c r="CC337" s="113"/>
      <c r="CD337" s="80" t="s">
        <v>125</v>
      </c>
      <c r="CE337" s="79"/>
      <c r="CM337" s="49"/>
      <c r="CN337" s="113"/>
      <c r="CO337" s="80" t="s">
        <v>125</v>
      </c>
      <c r="CP337" s="79"/>
      <c r="CY337" s="113"/>
      <c r="CZ337" s="80" t="s">
        <v>125</v>
      </c>
      <c r="DA337" s="79"/>
      <c r="DI337" s="49"/>
    </row>
    <row r="338" spans="10:113" ht="18" x14ac:dyDescent="0.35">
      <c r="K338" s="68" t="s">
        <v>779</v>
      </c>
      <c r="L338" s="70" t="b">
        <v>0</v>
      </c>
      <c r="M338" s="38"/>
      <c r="N338" s="72"/>
      <c r="O338" s="75" t="s">
        <v>628</v>
      </c>
      <c r="P338" s="49"/>
      <c r="Y338" s="79"/>
      <c r="Z338" s="80"/>
      <c r="AA338" s="82"/>
      <c r="AI338" s="79"/>
      <c r="AJ338" s="80"/>
      <c r="AK338" s="82"/>
      <c r="AT338" s="79"/>
      <c r="AU338" s="80"/>
      <c r="AV338" s="82"/>
      <c r="BP338" s="81" t="s">
        <v>109</v>
      </c>
      <c r="BQ338" s="78" t="e">
        <f>IF(ISNUMBER([0]!ϴi_C1),IF([0]!ϴi_C1&gt;=0,610.5*EXP((17.269*[0]!ϴi_C1)/(237.3+[0]!ϴi_C1)),610.5*EXP((21.875*[0]!ϴi_C1)/(265.5+[0]!ϴi_C1))),NA())</f>
        <v>#N/A</v>
      </c>
      <c r="BR338" s="113"/>
      <c r="BS338" s="80" t="s">
        <v>126</v>
      </c>
      <c r="BT338" s="82"/>
      <c r="CB338" s="49"/>
      <c r="CC338" s="113"/>
      <c r="CD338" s="80" t="s">
        <v>126</v>
      </c>
      <c r="CE338" s="82"/>
      <c r="CM338" s="49"/>
      <c r="CN338" s="113"/>
      <c r="CO338" s="80" t="s">
        <v>126</v>
      </c>
      <c r="CP338" s="82"/>
      <c r="CY338" s="113"/>
      <c r="CZ338" s="80" t="s">
        <v>126</v>
      </c>
      <c r="DA338" s="82"/>
      <c r="DI338" s="49"/>
    </row>
    <row r="339" spans="10:113" ht="18" x14ac:dyDescent="0.35">
      <c r="K339" s="75" t="s">
        <v>125</v>
      </c>
      <c r="L339" s="79">
        <v>2213.2605509397044</v>
      </c>
      <c r="M339" s="80" t="s">
        <v>126</v>
      </c>
      <c r="N339" s="76">
        <v>19.12445922136796</v>
      </c>
      <c r="O339" s="43"/>
      <c r="P339" s="49"/>
      <c r="Y339" s="79"/>
      <c r="Z339" s="80"/>
      <c r="AA339" s="83"/>
      <c r="AI339" s="79"/>
      <c r="AJ339" s="80"/>
      <c r="AK339" s="83"/>
      <c r="AT339" s="79"/>
      <c r="AU339" s="80"/>
      <c r="AV339" s="83"/>
      <c r="BP339" s="75" t="s">
        <v>156</v>
      </c>
      <c r="BQ339" s="78">
        <f ca="1">P_sat_e_VN_C1*φe_H3_C1</f>
        <v>767.24078221156549</v>
      </c>
      <c r="BR339" s="113"/>
      <c r="BS339" s="80" t="s">
        <v>127</v>
      </c>
      <c r="BT339" s="83"/>
      <c r="CB339" s="49"/>
      <c r="CC339" s="113"/>
      <c r="CD339" s="80" t="s">
        <v>127</v>
      </c>
      <c r="CE339" s="83"/>
      <c r="CM339" s="49"/>
      <c r="CN339" s="113"/>
      <c r="CO339" s="80" t="s">
        <v>127</v>
      </c>
      <c r="CP339" s="83"/>
      <c r="CY339" s="113"/>
      <c r="CZ339" s="80" t="s">
        <v>127</v>
      </c>
      <c r="DA339" s="83"/>
      <c r="DI339" s="49"/>
    </row>
    <row r="340" spans="10:113" ht="18.75" thickBot="1" x14ac:dyDescent="0.4">
      <c r="K340" s="486" t="s">
        <v>127</v>
      </c>
      <c r="L340" s="512">
        <v>0.54992789618239468</v>
      </c>
      <c r="M340" s="115" t="s">
        <v>122</v>
      </c>
      <c r="N340" s="510">
        <v>0.28884260743403761</v>
      </c>
      <c r="O340" s="57"/>
      <c r="P340" s="61"/>
      <c r="Y340" s="22"/>
      <c r="Z340" s="80"/>
      <c r="AA340" s="22"/>
      <c r="AI340" s="22"/>
      <c r="AJ340" s="80"/>
      <c r="AK340" s="22"/>
      <c r="AT340" s="22"/>
      <c r="AU340" s="80"/>
      <c r="AV340" s="22"/>
      <c r="BP340" s="75"/>
      <c r="BR340" s="114"/>
      <c r="BS340" s="80" t="s">
        <v>122</v>
      </c>
      <c r="BT340" s="22"/>
      <c r="CB340" s="49"/>
      <c r="CC340" s="114"/>
      <c r="CD340" s="80" t="s">
        <v>122</v>
      </c>
      <c r="CE340" s="22"/>
      <c r="CM340" s="49"/>
      <c r="CN340" s="114"/>
      <c r="CO340" s="80" t="s">
        <v>122</v>
      </c>
      <c r="CP340" s="22"/>
      <c r="CY340" s="114"/>
      <c r="CZ340" s="80" t="s">
        <v>122</v>
      </c>
      <c r="DA340" s="22"/>
      <c r="DI340" s="49"/>
    </row>
    <row r="341" spans="10:113" x14ac:dyDescent="0.25">
      <c r="K341" s="80"/>
      <c r="N341" s="28"/>
      <c r="O341" s="17"/>
      <c r="Z341" s="28"/>
      <c r="AA341" s="17"/>
      <c r="AJ341" s="28"/>
      <c r="AK341" s="17"/>
      <c r="AU341" s="28"/>
      <c r="AV341" s="17"/>
      <c r="BP341" s="43"/>
      <c r="BQ341" s="49"/>
      <c r="BR341" s="43"/>
      <c r="BS341" s="28" t="s">
        <v>159</v>
      </c>
      <c r="BT341" s="17"/>
      <c r="CB341" s="49"/>
      <c r="CC341" s="43"/>
      <c r="CD341" s="28" t="s">
        <v>159</v>
      </c>
      <c r="CE341" s="17"/>
      <c r="CM341" s="49"/>
      <c r="CN341" s="43"/>
      <c r="CO341" s="28" t="s">
        <v>159</v>
      </c>
      <c r="CP341" s="17"/>
      <c r="CY341" s="43"/>
      <c r="CZ341" s="28" t="s">
        <v>159</v>
      </c>
      <c r="DA341" s="17"/>
      <c r="DI341" s="49"/>
    </row>
    <row r="342" spans="10:113" ht="15.75" thickBot="1" x14ac:dyDescent="0.3">
      <c r="K342" s="80"/>
      <c r="N342" s="80"/>
      <c r="Z342" s="80"/>
      <c r="AA342" s="17"/>
      <c r="AJ342" s="80"/>
      <c r="AK342" s="17"/>
      <c r="AU342" s="80"/>
      <c r="AV342" s="17"/>
      <c r="BP342" s="57"/>
      <c r="BQ342" s="61"/>
      <c r="BR342" s="57"/>
      <c r="BS342" s="115" t="s">
        <v>161</v>
      </c>
      <c r="BT342" s="58"/>
      <c r="BU342" s="58"/>
      <c r="BV342" s="58"/>
      <c r="BW342" s="58"/>
      <c r="BX342" s="58"/>
      <c r="BY342" s="58"/>
      <c r="BZ342" s="58"/>
      <c r="CA342" s="58"/>
      <c r="CB342" s="61"/>
      <c r="CC342" s="57"/>
      <c r="CD342" s="115" t="s">
        <v>161</v>
      </c>
      <c r="CE342" s="84"/>
      <c r="CF342" s="58"/>
      <c r="CG342" s="58"/>
      <c r="CH342" s="58"/>
      <c r="CI342" s="58"/>
      <c r="CJ342" s="58"/>
      <c r="CK342" s="58"/>
      <c r="CL342" s="58"/>
      <c r="CM342" s="61"/>
      <c r="CN342" s="57"/>
      <c r="CO342" s="115" t="s">
        <v>161</v>
      </c>
      <c r="CP342" s="84"/>
      <c r="CQ342" s="58"/>
      <c r="CR342" s="58"/>
      <c r="CS342" s="58"/>
      <c r="CT342" s="58"/>
      <c r="CU342" s="58"/>
      <c r="CV342" s="58"/>
      <c r="CW342" s="58"/>
      <c r="CX342" s="58"/>
      <c r="CY342" s="57"/>
      <c r="CZ342" s="115" t="s">
        <v>161</v>
      </c>
      <c r="DA342" s="84"/>
      <c r="DB342" s="58"/>
      <c r="DC342" s="58"/>
      <c r="DD342" s="58"/>
      <c r="DE342" s="58"/>
      <c r="DF342" s="58"/>
      <c r="DG342" s="58"/>
      <c r="DH342" s="58"/>
      <c r="DI342" s="61"/>
    </row>
    <row r="343" spans="10:113" ht="15.75" thickBot="1" x14ac:dyDescent="0.3">
      <c r="K343" s="516" t="s">
        <v>179</v>
      </c>
      <c r="L343" s="30">
        <v>10</v>
      </c>
      <c r="M343" s="110" t="str">
        <f>VLOOKUP(L343,Aux!$AL$72:$AM$83,2,FALSE)</f>
        <v>Octubre</v>
      </c>
      <c r="N343" s="32"/>
      <c r="O343" s="32"/>
      <c r="P343" s="32"/>
      <c r="Q343" s="540"/>
      <c r="R343" s="32"/>
      <c r="S343" s="32"/>
      <c r="T343" s="32"/>
      <c r="U343" s="32"/>
      <c r="V343" s="32"/>
      <c r="W343" s="32"/>
      <c r="X343" s="33"/>
      <c r="Y343" s="32"/>
      <c r="Z343" s="32"/>
      <c r="AA343" s="33"/>
    </row>
    <row r="344" spans="10:113" ht="15.75" thickBot="1" x14ac:dyDescent="0.3">
      <c r="K344" s="42" t="s">
        <v>120</v>
      </c>
      <c r="L344" s="41" t="s">
        <v>121</v>
      </c>
      <c r="M344" s="515" t="s">
        <v>265</v>
      </c>
      <c r="N344" s="35" t="s">
        <v>146</v>
      </c>
      <c r="O344" s="35" t="s">
        <v>806</v>
      </c>
      <c r="P344" s="35" t="s">
        <v>167</v>
      </c>
      <c r="Q344" s="35" t="s">
        <v>807</v>
      </c>
      <c r="R344" s="35" t="s">
        <v>783</v>
      </c>
      <c r="S344" s="532" t="s">
        <v>170</v>
      </c>
      <c r="T344" s="40" t="s">
        <v>178</v>
      </c>
      <c r="U344" s="40" t="s">
        <v>169</v>
      </c>
      <c r="V344" s="40" t="s">
        <v>168</v>
      </c>
      <c r="W344" s="40" t="s">
        <v>175</v>
      </c>
      <c r="X344" s="41" t="s">
        <v>176</v>
      </c>
      <c r="Y344" s="40"/>
      <c r="Z344" s="40"/>
      <c r="AA344" s="41"/>
      <c r="AB344" s="80"/>
      <c r="AG344" s="80"/>
      <c r="AH344" s="17"/>
      <c r="AI344" s="17"/>
      <c r="AJ344" s="80"/>
      <c r="AK344" s="22"/>
      <c r="AM344" s="80"/>
      <c r="AN344" s="80"/>
      <c r="AO344" s="80"/>
      <c r="AP344" s="80"/>
      <c r="AQ344" s="80"/>
      <c r="AR344" s="80"/>
      <c r="AS344" s="17"/>
      <c r="AT344" s="17"/>
      <c r="AU344" s="80"/>
      <c r="AV344" s="22"/>
      <c r="AX344" s="80"/>
      <c r="AY344" s="80"/>
      <c r="AZ344" s="80"/>
      <c r="BA344" s="80"/>
      <c r="BB344" s="80"/>
      <c r="BC344" s="80"/>
      <c r="BD344" s="17"/>
      <c r="BP344" s="29" t="s">
        <v>179</v>
      </c>
      <c r="BQ344" s="30">
        <v>11</v>
      </c>
      <c r="BR344" s="110"/>
      <c r="BS344" s="34" t="s">
        <v>163</v>
      </c>
      <c r="BT344" s="31">
        <f ca="1">P_sat_i_VN_C1*VLOOKUP(1,φi[],2,FALSE)</f>
        <v>1519.0182434715223</v>
      </c>
      <c r="BU344" s="32"/>
      <c r="BV344" s="32"/>
      <c r="BW344" s="32"/>
      <c r="BX344" s="32"/>
      <c r="BY344" s="32"/>
      <c r="BZ344" s="32"/>
      <c r="CA344" s="34" t="s">
        <v>267</v>
      </c>
      <c r="CB344" s="30">
        <f>VLOOKUP(1,φi[],2,FALSE)</f>
        <v>0.65</v>
      </c>
      <c r="CC344" s="110"/>
      <c r="CD344" s="34" t="s">
        <v>164</v>
      </c>
      <c r="CE344" s="31">
        <f ca="1">P_sat_i_VN_C1*VLOOKUP(2,φi[],2,FALSE)</f>
        <v>1752.7133578517564</v>
      </c>
      <c r="CF344" s="34"/>
      <c r="CG344" s="34"/>
      <c r="CH344" s="32"/>
      <c r="CI344" s="32"/>
      <c r="CJ344" s="32"/>
      <c r="CK344" s="32"/>
      <c r="CL344" s="34" t="s">
        <v>268</v>
      </c>
      <c r="CM344" s="30">
        <f>VLOOKUP(2,φi[],2,FALSE)</f>
        <v>0.75</v>
      </c>
      <c r="CN344" s="110"/>
      <c r="CO344" s="34" t="s">
        <v>165</v>
      </c>
      <c r="CP344" s="31">
        <f ca="1">P_sat_i_VN_C1*VLOOKUP(3,φi[],2,FALSE)</f>
        <v>1869.5609150418736</v>
      </c>
      <c r="CQ344" s="32"/>
      <c r="CR344" s="34"/>
      <c r="CS344" s="34"/>
      <c r="CT344" s="34"/>
      <c r="CU344" s="34"/>
      <c r="CV344" s="34"/>
      <c r="CW344" s="34" t="s">
        <v>269</v>
      </c>
      <c r="CX344" s="116">
        <f>VLOOKUP(3,φi[],2,FALSE)</f>
        <v>0.8</v>
      </c>
      <c r="CY344" s="110"/>
      <c r="CZ344" s="34" t="s">
        <v>166</v>
      </c>
      <c r="DA344" s="31">
        <f ca="1">P_sat_i_VN_C1*Seccion1!φi_C1</f>
        <v>747.82436601674965</v>
      </c>
      <c r="DB344" s="32"/>
      <c r="DC344" s="34"/>
      <c r="DD344" s="34"/>
      <c r="DE344" s="34"/>
      <c r="DF344" s="34"/>
      <c r="DG344" s="34"/>
      <c r="DH344" s="34" t="s">
        <v>154</v>
      </c>
      <c r="DI344" s="30"/>
    </row>
    <row r="345" spans="10:113" x14ac:dyDescent="0.25">
      <c r="J345" s="517"/>
      <c r="K345" s="46">
        <v>10</v>
      </c>
      <c r="L345" s="47">
        <v>1227.3098648962341</v>
      </c>
      <c r="M345" s="54"/>
      <c r="N345" s="44" t="s">
        <v>107</v>
      </c>
      <c r="O345" s="44" t="e">
        <v>#N/A</v>
      </c>
      <c r="P345" s="15" t="e">
        <v>#N/A</v>
      </c>
      <c r="Q345" s="541"/>
      <c r="R345" s="44"/>
      <c r="S345" s="533"/>
      <c r="T345" s="44"/>
      <c r="U345" s="44"/>
      <c r="V345" s="44"/>
      <c r="W345" s="44"/>
      <c r="X345" s="531"/>
      <c r="Y345" s="44"/>
      <c r="Z345" s="44"/>
      <c r="AA345" s="531"/>
      <c r="AB345" s="35"/>
      <c r="AC345" s="35"/>
      <c r="AD345" s="35"/>
      <c r="AE345" s="35"/>
      <c r="AF345" s="35"/>
      <c r="AG345" s="35"/>
      <c r="AH345" s="35"/>
      <c r="AI345" s="511"/>
      <c r="AJ345" s="35"/>
      <c r="AK345" s="35"/>
      <c r="AL345" s="35"/>
      <c r="AM345" s="35"/>
      <c r="AN345" s="35"/>
      <c r="AO345" s="35"/>
      <c r="AP345" s="35"/>
      <c r="AQ345" s="35"/>
      <c r="AR345" s="35"/>
      <c r="AS345" s="35"/>
      <c r="AT345" s="511"/>
      <c r="AU345" s="35"/>
      <c r="AV345" s="35"/>
      <c r="AW345" s="35"/>
      <c r="AX345" s="35"/>
      <c r="AY345" s="35"/>
      <c r="AZ345" s="35"/>
      <c r="BA345" s="35"/>
      <c r="BB345" s="35"/>
      <c r="BC345" s="35"/>
      <c r="BD345" s="35"/>
      <c r="BP345" s="42" t="s">
        <v>120</v>
      </c>
      <c r="BQ345" s="41" t="s">
        <v>121</v>
      </c>
      <c r="BR345" s="42" t="s">
        <v>265</v>
      </c>
      <c r="BS345" s="40" t="s">
        <v>146</v>
      </c>
      <c r="BT345" s="40" t="s">
        <v>147</v>
      </c>
      <c r="BU345" s="40" t="s">
        <v>170</v>
      </c>
      <c r="BV345" s="40" t="s">
        <v>178</v>
      </c>
      <c r="BW345" s="40" t="s">
        <v>169</v>
      </c>
      <c r="BX345" s="40" t="s">
        <v>168</v>
      </c>
      <c r="BY345" s="40" t="s">
        <v>175</v>
      </c>
      <c r="BZ345" s="40" t="s">
        <v>176</v>
      </c>
      <c r="CA345" s="40" t="s">
        <v>167</v>
      </c>
      <c r="CB345" s="41" t="s">
        <v>266</v>
      </c>
      <c r="CC345" s="42" t="s">
        <v>265</v>
      </c>
      <c r="CD345" s="40" t="s">
        <v>148</v>
      </c>
      <c r="CE345" s="40" t="s">
        <v>149</v>
      </c>
      <c r="CF345" s="40" t="s">
        <v>170</v>
      </c>
      <c r="CG345" s="40" t="s">
        <v>178</v>
      </c>
      <c r="CH345" s="40" t="s">
        <v>169</v>
      </c>
      <c r="CI345" s="40" t="s">
        <v>168</v>
      </c>
      <c r="CJ345" s="40" t="s">
        <v>175</v>
      </c>
      <c r="CK345" s="40" t="s">
        <v>176</v>
      </c>
      <c r="CL345" s="40" t="s">
        <v>171</v>
      </c>
      <c r="CM345" s="41" t="s">
        <v>266</v>
      </c>
      <c r="CN345" s="42" t="s">
        <v>265</v>
      </c>
      <c r="CO345" s="40" t="s">
        <v>150</v>
      </c>
      <c r="CP345" s="40" t="s">
        <v>151</v>
      </c>
      <c r="CQ345" s="40" t="s">
        <v>170</v>
      </c>
      <c r="CR345" s="40" t="s">
        <v>178</v>
      </c>
      <c r="CS345" s="40" t="s">
        <v>169</v>
      </c>
      <c r="CT345" s="40" t="s">
        <v>168</v>
      </c>
      <c r="CU345" s="40" t="s">
        <v>175</v>
      </c>
      <c r="CV345" s="40" t="s">
        <v>176</v>
      </c>
      <c r="CW345" s="40" t="s">
        <v>172</v>
      </c>
      <c r="CX345" s="41" t="s">
        <v>266</v>
      </c>
      <c r="CY345" s="42" t="s">
        <v>265</v>
      </c>
      <c r="CZ345" s="40" t="s">
        <v>152</v>
      </c>
      <c r="DA345" s="40" t="s">
        <v>153</v>
      </c>
      <c r="DB345" s="40" t="s">
        <v>170</v>
      </c>
      <c r="DC345" s="40" t="s">
        <v>178</v>
      </c>
      <c r="DD345" s="40" t="s">
        <v>169</v>
      </c>
      <c r="DE345" s="40" t="s">
        <v>168</v>
      </c>
      <c r="DF345" s="40" t="s">
        <v>175</v>
      </c>
      <c r="DG345" s="40" t="s">
        <v>176</v>
      </c>
      <c r="DH345" s="40" t="s">
        <v>177</v>
      </c>
      <c r="DI345" s="41" t="s">
        <v>266</v>
      </c>
    </row>
    <row r="346" spans="10:113" x14ac:dyDescent="0.25">
      <c r="J346" s="517"/>
      <c r="K346" s="53">
        <v>10.057845263919017</v>
      </c>
      <c r="L346" s="47">
        <v>1232.0750403191073</v>
      </c>
      <c r="M346" s="54">
        <v>7.267492734948493</v>
      </c>
      <c r="N346" s="50">
        <v>1018.6671878638742</v>
      </c>
      <c r="O346" s="55">
        <v>0</v>
      </c>
      <c r="P346" s="50">
        <f ca="1">IF(ISNA(T346),
_xlfn.FORECAST.LINEAR($J60,INDIRECT(W346),INDIRECT(X346)),T346)</f>
        <v>1018.6671878638742</v>
      </c>
      <c r="Q346" s="514"/>
      <c r="R346" s="50"/>
      <c r="S346" s="535" cm="1">
        <f t="array" ref="S346">SUM(IF(ISNUMBER(T$346:T346),1,0))+IF($J346&gt;Capas_VN_C1,1,0)</f>
        <v>1</v>
      </c>
      <c r="T346" s="50">
        <f>IF(O346=1,$L346,L363)</f>
        <v>1018.6671878638742</v>
      </c>
      <c r="U346" s="50">
        <f>VLOOKUP($J347,$S$346:$T$358,2,FALSE)</f>
        <v>1018.6671878638742</v>
      </c>
      <c r="V346" s="50">
        <f>INDEX($J$60:$J$72,MATCH(U346,T$346:T$358,0))</f>
        <v>0</v>
      </c>
      <c r="W346" s="50" t="str">
        <f>CONCATENATE(ADDRESS(ROW(U$346)-1+S346,COLUMN(U$346)),":",ADDRESS(ROW(U$346)+S346,COLUMN(U$346)))</f>
        <v>$U$346:$U$347</v>
      </c>
      <c r="X346" s="214" t="str">
        <f>CONCATENATE(ADDRESS(ROW(V$346)-1+S346,COLUMN(V$346)),":",ADDRESS(ROW(V$346)+S346,COLUMN(V$346)))</f>
        <v>$V$346:$V$347</v>
      </c>
      <c r="Y346" s="50"/>
      <c r="Z346" s="50"/>
      <c r="AA346" s="214"/>
      <c r="AC346" s="48"/>
      <c r="AD346" s="48"/>
      <c r="AE346" s="48"/>
      <c r="AF346" s="48"/>
      <c r="AI346" s="51"/>
      <c r="AJ346" s="44"/>
      <c r="AK346" s="44"/>
      <c r="AN346" s="48"/>
      <c r="AO346" s="48"/>
      <c r="AP346" s="48"/>
      <c r="AQ346" s="48"/>
      <c r="AT346" s="51"/>
      <c r="AU346" s="44"/>
      <c r="AV346" s="44"/>
      <c r="AY346" s="48"/>
      <c r="AZ346" s="48"/>
      <c r="BA346" s="48"/>
      <c r="BB346" s="48"/>
      <c r="BP346" s="46"/>
      <c r="BQ346" s="52"/>
      <c r="BR346" s="54"/>
      <c r="BS346" s="44"/>
      <c r="BT346" s="44"/>
      <c r="BW346" s="48"/>
      <c r="BX346" s="48"/>
      <c r="BY346" s="48"/>
      <c r="BZ346" s="48"/>
      <c r="CB346" s="49"/>
      <c r="CC346" s="54"/>
      <c r="CD346" s="44"/>
      <c r="CE346" s="44"/>
      <c r="CH346" s="48"/>
      <c r="CI346" s="48"/>
      <c r="CJ346" s="48"/>
      <c r="CK346" s="48"/>
      <c r="CM346" s="49"/>
      <c r="CN346" s="54"/>
      <c r="CO346" s="44"/>
      <c r="CP346" s="44"/>
      <c r="CS346" s="48"/>
      <c r="CT346" s="48"/>
      <c r="CU346" s="48"/>
      <c r="CV346" s="48"/>
      <c r="CY346" s="54"/>
      <c r="CZ346" s="44"/>
      <c r="DA346" s="44"/>
      <c r="DD346" s="48"/>
      <c r="DE346" s="48"/>
      <c r="DF346" s="48"/>
      <c r="DG346" s="48"/>
      <c r="DI346" s="49"/>
    </row>
    <row r="347" spans="10:113" x14ac:dyDescent="0.25">
      <c r="J347" s="15">
        <v>1</v>
      </c>
      <c r="K347" s="53">
        <v>10.130151843817787</v>
      </c>
      <c r="L347" s="47">
        <v>1238.0543810387346</v>
      </c>
      <c r="M347" s="54">
        <v>11.303544266225012</v>
      </c>
      <c r="N347" s="50">
        <v>1336.6571270504335</v>
      </c>
      <c r="O347" s="55">
        <f t="array" aca="1" ref="O347:O358" ca="1">IF((N347:N358&gt;=L347:L358)+(R321:R332&gt;0),1,0)</f>
        <v>1</v>
      </c>
      <c r="P347" s="50">
        <f t="shared" ref="P347:P358" ca="1" si="272">IF(ISNA(T347),
_xlfn.FORECAST.LINEAR($J61,INDIRECT(W347),INDIRECT(X347)),T347)</f>
        <v>1238.0543810387346</v>
      </c>
      <c r="Q347" s="534">
        <f ca="1">IF(O347=1,δ_0*(SLOPE(INDIRECT(VLOOKUP(S347,$S$346:$X$358,5,FALSE)),INDIRECT(VLOOKUP(S347,$S$346:$X$358,6,FALSE)))-SLOPE(INDIRECT(VLOOKUP(S347-1,$S$346:$X$358,5,FALSE)),INDIRECT(VLOOKUP(S347-1,$S$346:$X$358,6,FALSE)))),0)*86400*VLOOKUP($L$317,Aux!$AL$72:$AN$83,3,FALSE)</f>
        <v>5.9844209408687505E-5</v>
      </c>
      <c r="R347" s="534">
        <f ca="1">IFERROR(IF(Q347+R321&lt;0,0,Q347+R321),0)</f>
        <v>8.2091801401976735E-4</v>
      </c>
      <c r="S347" s="535" cm="1">
        <f t="array" aca="1" ref="S347" ca="1">SUM(IF(ISNUMBER(T$346:T347),1,0))+IF($J347&gt;Capas_VN_C1,1,0)</f>
        <v>2</v>
      </c>
      <c r="T347" s="50">
        <f t="shared" ref="T347:T358" ca="1" si="273">IF(O347=1,$L347,IF(J347=Capas_VN_C1,$N$363,NA()))</f>
        <v>1238.0543810387346</v>
      </c>
      <c r="U347" s="50">
        <f t="shared" ref="U347:U358" ca="1" si="274">VLOOKUP($J348,$S$346:$T$358,2,FALSE)</f>
        <v>1238.0543810387346</v>
      </c>
      <c r="V347" s="50">
        <f t="shared" ref="V347:V358" ca="1" si="275">INDEX($J$60:$J$72,MATCH(U347,T$346:T$358,0))</f>
        <v>5000</v>
      </c>
      <c r="W347" s="50" t="str">
        <f t="shared" ref="W347:W358" ca="1" si="276">CONCATENATE(ADDRESS(ROW(U$346)-1+S347,COLUMN(U$346)),":",ADDRESS(ROW(U$346)+S347,COLUMN(U$346)))</f>
        <v>$U$347:$U$348</v>
      </c>
      <c r="X347" s="214" t="str">
        <f t="shared" ref="X347:X358" ca="1" si="277">CONCATENATE(ADDRESS(ROW(V$346)-1+S347,COLUMN(V$346)),":",ADDRESS(ROW(V$346)+S347,COLUMN(V$346)))</f>
        <v>$V$347:$V$348</v>
      </c>
      <c r="Y347" s="50"/>
      <c r="Z347" s="50"/>
      <c r="AA347" s="214"/>
      <c r="AB347" s="51"/>
      <c r="AC347" s="51"/>
      <c r="AD347" s="51"/>
      <c r="AE347" s="48"/>
      <c r="AF347" s="48"/>
      <c r="AG347" s="50"/>
      <c r="AH347" s="50"/>
      <c r="AI347" s="51"/>
      <c r="AJ347" s="50"/>
      <c r="AK347" s="55"/>
      <c r="AL347" s="55"/>
      <c r="AM347" s="51"/>
      <c r="AN347" s="51"/>
      <c r="AO347" s="51"/>
      <c r="AP347" s="48"/>
      <c r="AQ347" s="48"/>
      <c r="AR347" s="50"/>
      <c r="AS347" s="50"/>
      <c r="AT347" s="51"/>
      <c r="AU347" s="50"/>
      <c r="AV347" s="55"/>
      <c r="AW347" s="55"/>
      <c r="AX347" s="50"/>
      <c r="AY347" s="51"/>
      <c r="AZ347" s="51"/>
      <c r="BA347" s="48"/>
      <c r="BB347" s="48"/>
      <c r="BC347" s="50"/>
      <c r="BD347" s="50"/>
      <c r="BP347" s="53"/>
      <c r="BQ347" s="52"/>
      <c r="BR347" s="54"/>
      <c r="BS347" s="50"/>
      <c r="BT347" s="55"/>
      <c r="BU347" s="55"/>
      <c r="BV347" s="51"/>
      <c r="BW347" s="51"/>
      <c r="BX347" s="51"/>
      <c r="BY347" s="48"/>
      <c r="BZ347" s="48"/>
      <c r="CA347" s="50"/>
      <c r="CB347" s="52"/>
      <c r="CC347" s="54"/>
      <c r="CD347" s="50"/>
      <c r="CE347" s="55"/>
      <c r="CF347" s="55"/>
      <c r="CG347" s="51"/>
      <c r="CH347" s="51"/>
      <c r="CI347" s="51"/>
      <c r="CJ347" s="48"/>
      <c r="CK347" s="48"/>
      <c r="CL347" s="50"/>
      <c r="CM347" s="52"/>
      <c r="CN347" s="54"/>
      <c r="CO347" s="50"/>
      <c r="CP347" s="55"/>
      <c r="CQ347" s="55"/>
      <c r="CR347" s="51"/>
      <c r="CS347" s="51"/>
      <c r="CT347" s="51"/>
      <c r="CU347" s="48"/>
      <c r="CV347" s="48"/>
      <c r="CW347" s="50"/>
      <c r="CX347" s="50"/>
      <c r="CY347" s="54"/>
      <c r="CZ347" s="50"/>
      <c r="DA347" s="55"/>
      <c r="DB347" s="55"/>
      <c r="DC347" s="50"/>
      <c r="DD347" s="51"/>
      <c r="DE347" s="51"/>
      <c r="DF347" s="48"/>
      <c r="DG347" s="48"/>
      <c r="DH347" s="50"/>
      <c r="DI347" s="52"/>
    </row>
    <row r="348" spans="10:113" x14ac:dyDescent="0.25">
      <c r="J348" s="15">
        <v>2</v>
      </c>
      <c r="K348" s="53">
        <v>14.468546637744033</v>
      </c>
      <c r="L348" s="47">
        <v>1646.9611405424305</v>
      </c>
      <c r="M348" s="54">
        <v>11.314299708499881</v>
      </c>
      <c r="N348" s="50">
        <v>1337.6110968679932</v>
      </c>
      <c r="O348" s="55">
        <f ca="1"/>
        <v>0</v>
      </c>
      <c r="P348" s="50">
        <f t="shared" ca="1" si="272"/>
        <v>1240.4441458997608</v>
      </c>
      <c r="Q348" s="534">
        <f ca="1">IF(O348=1,δ_0*(SLOPE(INDIRECT(VLOOKUP(S348,$S$346:$X$358,5,FALSE)),INDIRECT(VLOOKUP(S348,$S$346:$X$358,6,FALSE)))-SLOPE(INDIRECT(VLOOKUP(S348-1,$S$346:$X$358,5,FALSE)),INDIRECT(VLOOKUP(S348-1,$S$346:$X$358,6,FALSE)))),0)*86400*VLOOKUP($L$317,Aux!$AL$72:$AN$83,3,FALSE)</f>
        <v>0</v>
      </c>
      <c r="R348" s="534">
        <f t="shared" ref="R348:R358" ca="1" si="278">IFERROR(IF(Q348+R322&lt;0,0,Q348+R322),0)</f>
        <v>0</v>
      </c>
      <c r="S348" s="535" cm="1">
        <f t="array" aca="1" ref="S348" ca="1">SUM(IF(ISNUMBER(T$346:T348),1,0))+IF($J348&gt;Capas_VN_C1,1,0)</f>
        <v>2</v>
      </c>
      <c r="T348" s="50" t="e">
        <f t="shared" ca="1" si="273"/>
        <v>#N/A</v>
      </c>
      <c r="U348" s="50">
        <f t="shared" ca="1" si="274"/>
        <v>1402.1706862814051</v>
      </c>
      <c r="V348" s="50">
        <f t="shared" ca="1" si="275"/>
        <v>6030.12</v>
      </c>
      <c r="W348" s="50" t="str">
        <f t="shared" ca="1" si="276"/>
        <v>$U$347:$U$348</v>
      </c>
      <c r="X348" s="214" t="str">
        <f t="shared" ca="1" si="277"/>
        <v>$V$347:$V$348</v>
      </c>
      <c r="Y348" s="50"/>
      <c r="Z348" s="50"/>
      <c r="AA348" s="214"/>
      <c r="AB348" s="51"/>
      <c r="AC348" s="51"/>
      <c r="AD348" s="51"/>
      <c r="AE348" s="48"/>
      <c r="AF348" s="48"/>
      <c r="AG348" s="50"/>
      <c r="AH348" s="50"/>
      <c r="AI348" s="51"/>
      <c r="AJ348" s="50"/>
      <c r="AK348" s="55"/>
      <c r="AL348" s="55"/>
      <c r="AM348" s="51"/>
      <c r="AN348" s="51"/>
      <c r="AO348" s="51"/>
      <c r="AP348" s="48"/>
      <c r="AQ348" s="48"/>
      <c r="AR348" s="50"/>
      <c r="AS348" s="50"/>
      <c r="AT348" s="51"/>
      <c r="AU348" s="50"/>
      <c r="AV348" s="55"/>
      <c r="AW348" s="55"/>
      <c r="AX348" s="50"/>
      <c r="AY348" s="51"/>
      <c r="AZ348" s="51"/>
      <c r="BA348" s="48"/>
      <c r="BB348" s="48"/>
      <c r="BC348" s="50"/>
      <c r="BD348" s="50"/>
      <c r="BP348" s="53"/>
      <c r="BQ348" s="52"/>
      <c r="BR348" s="54"/>
      <c r="BS348" s="50"/>
      <c r="BT348" s="55"/>
      <c r="BU348" s="55"/>
      <c r="BV348" s="51"/>
      <c r="BW348" s="51"/>
      <c r="BX348" s="51"/>
      <c r="BY348" s="48"/>
      <c r="BZ348" s="48"/>
      <c r="CA348" s="50"/>
      <c r="CB348" s="52"/>
      <c r="CC348" s="54"/>
      <c r="CD348" s="50"/>
      <c r="CE348" s="55"/>
      <c r="CF348" s="55"/>
      <c r="CG348" s="51"/>
      <c r="CH348" s="51"/>
      <c r="CI348" s="51"/>
      <c r="CJ348" s="48"/>
      <c r="CK348" s="48"/>
      <c r="CL348" s="50"/>
      <c r="CM348" s="52"/>
      <c r="CN348" s="54"/>
      <c r="CO348" s="50"/>
      <c r="CP348" s="55"/>
      <c r="CQ348" s="55"/>
      <c r="CR348" s="51"/>
      <c r="CS348" s="51"/>
      <c r="CT348" s="51"/>
      <c r="CU348" s="48"/>
      <c r="CV348" s="48"/>
      <c r="CW348" s="50"/>
      <c r="CX348" s="50"/>
      <c r="CY348" s="54"/>
      <c r="CZ348" s="50"/>
      <c r="DA348" s="55"/>
      <c r="DB348" s="55"/>
      <c r="DC348" s="50"/>
      <c r="DD348" s="51"/>
      <c r="DE348" s="51"/>
      <c r="DF348" s="48"/>
      <c r="DG348" s="48"/>
      <c r="DH348" s="50"/>
      <c r="DI348" s="52"/>
    </row>
    <row r="349" spans="10:113" x14ac:dyDescent="0.25">
      <c r="J349" s="15">
        <v>3</v>
      </c>
      <c r="K349" s="53">
        <v>14.468546637744033</v>
      </c>
      <c r="L349" s="47">
        <v>1646.9611405424305</v>
      </c>
      <c r="M349" s="54">
        <v>12.016385737522805</v>
      </c>
      <c r="N349" s="50">
        <v>1401.209084705305</v>
      </c>
      <c r="O349" s="55">
        <f ca="1"/>
        <v>0</v>
      </c>
      <c r="P349" s="50">
        <f t="shared" ca="1" si="272"/>
        <v>1399.761803301491</v>
      </c>
      <c r="Q349" s="534">
        <f ca="1">IF(O349=1,δ_0*(SLOPE(INDIRECT(VLOOKUP(S349,$S$346:$X$358,5,FALSE)),INDIRECT(VLOOKUP(S349,$S$346:$X$358,6,FALSE)))-SLOPE(INDIRECT(VLOOKUP(S349-1,$S$346:$X$358,5,FALSE)),INDIRECT(VLOOKUP(S349-1,$S$346:$X$358,6,FALSE)))),0)*86400*VLOOKUP($L$317,Aux!$AL$72:$AN$83,3,FALSE)</f>
        <v>0</v>
      </c>
      <c r="R349" s="534">
        <f t="shared" ca="1" si="278"/>
        <v>0</v>
      </c>
      <c r="S349" s="535" cm="1">
        <f t="array" aca="1" ref="S349" ca="1">SUM(IF(ISNUMBER(T$346:T349),1,0))+IF($J349&gt;Capas_VN_C1,1,0)</f>
        <v>2</v>
      </c>
      <c r="T349" s="50" t="e">
        <f t="shared" ca="1" si="273"/>
        <v>#N/A</v>
      </c>
      <c r="U349" s="50" t="e">
        <f t="shared" ca="1" si="274"/>
        <v>#N/A</v>
      </c>
      <c r="V349" s="50" t="e">
        <f t="shared" ca="1" si="275"/>
        <v>#N/A</v>
      </c>
      <c r="W349" s="50" t="str">
        <f t="shared" ca="1" si="276"/>
        <v>$U$347:$U$348</v>
      </c>
      <c r="X349" s="214" t="str">
        <f t="shared" ca="1" si="277"/>
        <v>$V$347:$V$348</v>
      </c>
      <c r="Y349" s="50"/>
      <c r="Z349" s="50"/>
      <c r="AA349" s="214"/>
      <c r="AB349" s="51"/>
      <c r="AC349" s="51"/>
      <c r="AD349" s="51"/>
      <c r="AE349" s="48"/>
      <c r="AF349" s="48"/>
      <c r="AG349" s="50"/>
      <c r="AH349" s="50"/>
      <c r="AI349" s="51"/>
      <c r="AJ349" s="50"/>
      <c r="AK349" s="55"/>
      <c r="AL349" s="55"/>
      <c r="AM349" s="51"/>
      <c r="AN349" s="51"/>
      <c r="AO349" s="51"/>
      <c r="AP349" s="48"/>
      <c r="AQ349" s="48"/>
      <c r="AR349" s="50"/>
      <c r="AS349" s="50"/>
      <c r="AT349" s="51"/>
      <c r="AU349" s="50"/>
      <c r="AV349" s="55"/>
      <c r="AW349" s="55"/>
      <c r="AX349" s="50"/>
      <c r="AY349" s="51"/>
      <c r="AZ349" s="51"/>
      <c r="BA349" s="48"/>
      <c r="BB349" s="48"/>
      <c r="BC349" s="50"/>
      <c r="BD349" s="50"/>
      <c r="BP349" s="53"/>
      <c r="BQ349" s="52"/>
      <c r="BR349" s="54"/>
      <c r="BS349" s="50"/>
      <c r="BT349" s="55"/>
      <c r="BU349" s="55"/>
      <c r="BV349" s="51"/>
      <c r="BW349" s="51"/>
      <c r="BX349" s="51"/>
      <c r="BY349" s="48"/>
      <c r="BZ349" s="48"/>
      <c r="CA349" s="50"/>
      <c r="CB349" s="52"/>
      <c r="CC349" s="54"/>
      <c r="CD349" s="50"/>
      <c r="CE349" s="55"/>
      <c r="CF349" s="55"/>
      <c r="CG349" s="51"/>
      <c r="CH349" s="51"/>
      <c r="CI349" s="51"/>
      <c r="CJ349" s="48"/>
      <c r="CK349" s="48"/>
      <c r="CL349" s="50"/>
      <c r="CM349" s="52"/>
      <c r="CN349" s="54"/>
      <c r="CO349" s="50"/>
      <c r="CP349" s="55"/>
      <c r="CQ349" s="55"/>
      <c r="CR349" s="51"/>
      <c r="CS349" s="51"/>
      <c r="CT349" s="51"/>
      <c r="CU349" s="48"/>
      <c r="CV349" s="48"/>
      <c r="CW349" s="50"/>
      <c r="CX349" s="50"/>
      <c r="CY349" s="54"/>
      <c r="CZ349" s="50"/>
      <c r="DA349" s="55"/>
      <c r="DB349" s="55"/>
      <c r="DC349" s="50"/>
      <c r="DD349" s="51"/>
      <c r="DE349" s="51"/>
      <c r="DF349" s="48"/>
      <c r="DG349" s="48"/>
      <c r="DH349" s="50"/>
      <c r="DI349" s="52"/>
    </row>
    <row r="350" spans="10:113" x14ac:dyDescent="0.25">
      <c r="J350" s="15">
        <v>4</v>
      </c>
      <c r="K350" s="53">
        <v>19.746926970354302</v>
      </c>
      <c r="L350" s="47">
        <v>2300.5924975238609</v>
      </c>
      <c r="M350" s="54">
        <v>12.026699628607568</v>
      </c>
      <c r="N350" s="50">
        <v>1402.1630545228645</v>
      </c>
      <c r="O350" s="55">
        <f ca="1"/>
        <v>0</v>
      </c>
      <c r="P350" s="50">
        <f t="shared" ca="1" si="272"/>
        <v>1402.1515681625169</v>
      </c>
      <c r="Q350" s="534">
        <f ca="1">IF(O350=1,δ_0*(SLOPE(INDIRECT(VLOOKUP(S350,$S$346:$X$358,5,FALSE)),INDIRECT(VLOOKUP(S350,$S$346:$X$358,6,FALSE)))-SLOPE(INDIRECT(VLOOKUP(S350-1,$S$346:$X$358,5,FALSE)),INDIRECT(VLOOKUP(S350-1,$S$346:$X$358,6,FALSE)))),0)*86400*VLOOKUP($L$317,Aux!$AL$72:$AN$83,3,FALSE)</f>
        <v>0</v>
      </c>
      <c r="R350" s="534">
        <f t="shared" ca="1" si="278"/>
        <v>0</v>
      </c>
      <c r="S350" s="535" cm="1">
        <f t="array" aca="1" ref="S350" ca="1">SUM(IF(ISNUMBER(T$346:T350),1,0))+IF($J350&gt;Capas_VN_C1,1,0)</f>
        <v>2</v>
      </c>
      <c r="T350" s="50" t="e">
        <f t="shared" ca="1" si="273"/>
        <v>#N/A</v>
      </c>
      <c r="U350" s="50" t="e">
        <f t="shared" ca="1" si="274"/>
        <v>#N/A</v>
      </c>
      <c r="V350" s="50" t="e">
        <f t="shared" ca="1" si="275"/>
        <v>#N/A</v>
      </c>
      <c r="W350" s="50" t="str">
        <f t="shared" ca="1" si="276"/>
        <v>$U$347:$U$348</v>
      </c>
      <c r="X350" s="214" t="str">
        <f t="shared" ca="1" si="277"/>
        <v>$V$347:$V$348</v>
      </c>
      <c r="Y350" s="50"/>
      <c r="Z350" s="50"/>
      <c r="AA350" s="214"/>
      <c r="AB350" s="51"/>
      <c r="AC350" s="51"/>
      <c r="AD350" s="51"/>
      <c r="AE350" s="48"/>
      <c r="AF350" s="48"/>
      <c r="AG350" s="50"/>
      <c r="AH350" s="50"/>
      <c r="AI350" s="51"/>
      <c r="AJ350" s="50"/>
      <c r="AK350" s="55"/>
      <c r="AL350" s="55"/>
      <c r="AM350" s="51"/>
      <c r="AN350" s="51"/>
      <c r="AO350" s="51"/>
      <c r="AP350" s="48"/>
      <c r="AQ350" s="48"/>
      <c r="AR350" s="50"/>
      <c r="AS350" s="50"/>
      <c r="AT350" s="51"/>
      <c r="AU350" s="50"/>
      <c r="AV350" s="55"/>
      <c r="AW350" s="55"/>
      <c r="AX350" s="50"/>
      <c r="AY350" s="51"/>
      <c r="AZ350" s="51"/>
      <c r="BA350" s="48"/>
      <c r="BB350" s="48"/>
      <c r="BC350" s="50"/>
      <c r="BD350" s="50"/>
      <c r="BP350" s="53"/>
      <c r="BQ350" s="52"/>
      <c r="BR350" s="54"/>
      <c r="BS350" s="50"/>
      <c r="BT350" s="55"/>
      <c r="BU350" s="55"/>
      <c r="BV350" s="51"/>
      <c r="BW350" s="51"/>
      <c r="BX350" s="51"/>
      <c r="BY350" s="48"/>
      <c r="BZ350" s="48"/>
      <c r="CA350" s="50"/>
      <c r="CB350" s="52"/>
      <c r="CC350" s="54"/>
      <c r="CD350" s="50"/>
      <c r="CE350" s="55"/>
      <c r="CF350" s="55"/>
      <c r="CG350" s="51"/>
      <c r="CH350" s="51"/>
      <c r="CI350" s="51"/>
      <c r="CJ350" s="48"/>
      <c r="CK350" s="48"/>
      <c r="CL350" s="50"/>
      <c r="CM350" s="52"/>
      <c r="CN350" s="54"/>
      <c r="CO350" s="50"/>
      <c r="CP350" s="55"/>
      <c r="CQ350" s="55"/>
      <c r="CR350" s="51"/>
      <c r="CS350" s="51"/>
      <c r="CT350" s="51"/>
      <c r="CU350" s="48"/>
      <c r="CV350" s="48"/>
      <c r="CW350" s="50"/>
      <c r="CX350" s="50"/>
      <c r="CY350" s="54"/>
      <c r="CZ350" s="50"/>
      <c r="DA350" s="55"/>
      <c r="DB350" s="55"/>
      <c r="DC350" s="50"/>
      <c r="DD350" s="51"/>
      <c r="DE350" s="51"/>
      <c r="DF350" s="48"/>
      <c r="DG350" s="48"/>
      <c r="DH350" s="50"/>
      <c r="DI350" s="52"/>
    </row>
    <row r="351" spans="10:113" x14ac:dyDescent="0.25">
      <c r="J351" s="15">
        <v>5</v>
      </c>
      <c r="K351" s="53">
        <v>19.85538684020246</v>
      </c>
      <c r="L351" s="47">
        <v>2316.1137432206574</v>
      </c>
      <c r="M351" s="54">
        <v>12.02678211459399</v>
      </c>
      <c r="N351" s="50">
        <v>1402.1706862814051</v>
      </c>
      <c r="O351" s="55">
        <f ca="1"/>
        <v>0</v>
      </c>
      <c r="P351" s="50">
        <f t="shared" ca="1" si="272"/>
        <v>1402.1706862814051</v>
      </c>
      <c r="Q351" s="534">
        <f ca="1">IF(O351=1,δ_0*(SLOPE(INDIRECT(VLOOKUP(S351,$S$346:$X$358,5,FALSE)),INDIRECT(VLOOKUP(S351,$S$346:$X$358,6,FALSE)))-SLOPE(INDIRECT(VLOOKUP(S351-1,$S$346:$X$358,5,FALSE)),INDIRECT(VLOOKUP(S351-1,$S$346:$X$358,6,FALSE)))),0)*86400*VLOOKUP($L$317,Aux!$AL$72:$AN$83,3,FALSE)</f>
        <v>0</v>
      </c>
      <c r="R351" s="534">
        <f t="shared" ca="1" si="278"/>
        <v>0</v>
      </c>
      <c r="S351" s="535" cm="1">
        <f t="array" aca="1" ref="S351" ca="1">SUM(IF(ISNUMBER(T$346:T351),1,0))+IF($J351&gt;Capas_VN_C1,1,0)</f>
        <v>3</v>
      </c>
      <c r="T351" s="50">
        <f t="shared" ca="1" si="273"/>
        <v>1402.1706862814051</v>
      </c>
      <c r="U351" s="50" t="e">
        <f t="shared" ca="1" si="274"/>
        <v>#N/A</v>
      </c>
      <c r="V351" s="50" t="e">
        <f t="shared" ca="1" si="275"/>
        <v>#N/A</v>
      </c>
      <c r="W351" s="50" t="str">
        <f t="shared" ca="1" si="276"/>
        <v>$U$348:$U$349</v>
      </c>
      <c r="X351" s="214" t="str">
        <f t="shared" ca="1" si="277"/>
        <v>$V$348:$V$349</v>
      </c>
      <c r="Y351" s="50"/>
      <c r="Z351" s="50"/>
      <c r="AA351" s="214"/>
      <c r="AB351" s="51"/>
      <c r="AC351" s="51"/>
      <c r="AD351" s="51"/>
      <c r="AE351" s="48"/>
      <c r="AF351" s="48"/>
      <c r="AG351" s="50"/>
      <c r="AH351" s="50"/>
      <c r="AI351" s="51"/>
      <c r="AJ351" s="50"/>
      <c r="AK351" s="55"/>
      <c r="AL351" s="55"/>
      <c r="AM351" s="51"/>
      <c r="AN351" s="51"/>
      <c r="AO351" s="51"/>
      <c r="AP351" s="48"/>
      <c r="AQ351" s="48"/>
      <c r="AR351" s="50"/>
      <c r="AS351" s="50"/>
      <c r="AT351" s="51"/>
      <c r="AU351" s="50"/>
      <c r="AV351" s="55"/>
      <c r="AW351" s="55"/>
      <c r="AX351" s="50"/>
      <c r="AY351" s="51"/>
      <c r="AZ351" s="51"/>
      <c r="BA351" s="48"/>
      <c r="BB351" s="48"/>
      <c r="BC351" s="50"/>
      <c r="BD351" s="50"/>
      <c r="BP351" s="53"/>
      <c r="BQ351" s="52"/>
      <c r="BR351" s="54"/>
      <c r="BS351" s="50"/>
      <c r="BT351" s="55"/>
      <c r="BU351" s="55"/>
      <c r="BV351" s="51"/>
      <c r="BW351" s="51"/>
      <c r="BX351" s="51"/>
      <c r="BY351" s="48"/>
      <c r="BZ351" s="48"/>
      <c r="CA351" s="50"/>
      <c r="CB351" s="52"/>
      <c r="CC351" s="54"/>
      <c r="CD351" s="50"/>
      <c r="CE351" s="55"/>
      <c r="CF351" s="55"/>
      <c r="CG351" s="51"/>
      <c r="CH351" s="51"/>
      <c r="CI351" s="51"/>
      <c r="CJ351" s="48"/>
      <c r="CK351" s="48"/>
      <c r="CL351" s="50"/>
      <c r="CM351" s="52"/>
      <c r="CN351" s="54"/>
      <c r="CO351" s="50"/>
      <c r="CP351" s="55"/>
      <c r="CQ351" s="55"/>
      <c r="CR351" s="51"/>
      <c r="CS351" s="51"/>
      <c r="CT351" s="51"/>
      <c r="CU351" s="48"/>
      <c r="CV351" s="48"/>
      <c r="CW351" s="50"/>
      <c r="CX351" s="50"/>
      <c r="CY351" s="54"/>
      <c r="CZ351" s="50"/>
      <c r="DA351" s="55"/>
      <c r="DB351" s="55"/>
      <c r="DC351" s="50"/>
      <c r="DD351" s="51"/>
      <c r="DE351" s="51"/>
      <c r="DF351" s="48"/>
      <c r="DG351" s="48"/>
      <c r="DH351" s="50"/>
      <c r="DI351" s="52"/>
    </row>
    <row r="352" spans="10:113" x14ac:dyDescent="0.25">
      <c r="J352" s="15">
        <v>6</v>
      </c>
      <c r="K352" s="53">
        <v>20</v>
      </c>
      <c r="L352" s="47">
        <v>2336.9511438023419</v>
      </c>
      <c r="M352" s="54" t="e">
        <v>#N/A</v>
      </c>
      <c r="N352" s="50" t="e">
        <v>#N/A</v>
      </c>
      <c r="O352" s="55" t="e">
        <f ca="1"/>
        <v>#N/A</v>
      </c>
      <c r="P352" s="50" t="e">
        <f t="shared" ca="1" si="272"/>
        <v>#N/A</v>
      </c>
      <c r="Q352" s="534" t="e">
        <f ca="1">IF(O352=1,δ_0*(SLOPE(INDIRECT(VLOOKUP(S352,$S$346:$X$358,5,FALSE)),INDIRECT(VLOOKUP(S352,$S$346:$X$358,6,FALSE)))-SLOPE(INDIRECT(VLOOKUP(S352-1,$S$346:$X$358,5,FALSE)),INDIRECT(VLOOKUP(S352-1,$S$346:$X$358,6,FALSE)))),0)*86400*VLOOKUP($L$317,Aux!$AL$72:$AN$83,3,FALSE)</f>
        <v>#N/A</v>
      </c>
      <c r="R352" s="534">
        <f t="shared" ca="1" si="278"/>
        <v>0</v>
      </c>
      <c r="S352" s="535" cm="1">
        <f t="array" aca="1" ref="S352" ca="1">SUM(IF(ISNUMBER(T$346:T352),1,0))+IF($J352&gt;Capas_VN_C1,1,0)</f>
        <v>4</v>
      </c>
      <c r="T352" s="50" t="e">
        <f t="shared" ca="1" si="273"/>
        <v>#N/A</v>
      </c>
      <c r="U352" s="50" t="e">
        <f t="shared" ca="1" si="274"/>
        <v>#N/A</v>
      </c>
      <c r="V352" s="50" t="e">
        <f t="shared" ca="1" si="275"/>
        <v>#N/A</v>
      </c>
      <c r="W352" s="50" t="str">
        <f t="shared" ca="1" si="276"/>
        <v>$U$349:$U$350</v>
      </c>
      <c r="X352" s="214" t="str">
        <f t="shared" ca="1" si="277"/>
        <v>$V$349:$V$350</v>
      </c>
      <c r="Y352" s="50"/>
      <c r="Z352" s="50"/>
      <c r="AA352" s="214"/>
      <c r="AB352" s="51"/>
      <c r="AC352" s="51"/>
      <c r="AD352" s="51"/>
      <c r="AE352" s="48"/>
      <c r="AF352" s="48"/>
      <c r="AG352" s="50"/>
      <c r="AH352" s="50"/>
      <c r="AI352" s="51"/>
      <c r="AJ352" s="50"/>
      <c r="AK352" s="55"/>
      <c r="AL352" s="55"/>
      <c r="AM352" s="51"/>
      <c r="AN352" s="51"/>
      <c r="AO352" s="51"/>
      <c r="AP352" s="48"/>
      <c r="AQ352" s="48"/>
      <c r="AR352" s="50"/>
      <c r="AS352" s="50"/>
      <c r="AT352" s="51"/>
      <c r="AU352" s="50"/>
      <c r="AV352" s="55"/>
      <c r="AW352" s="55"/>
      <c r="AX352" s="50"/>
      <c r="AY352" s="51"/>
      <c r="AZ352" s="51"/>
      <c r="BA352" s="48"/>
      <c r="BB352" s="48"/>
      <c r="BC352" s="50"/>
      <c r="BD352" s="50"/>
      <c r="BP352" s="53"/>
      <c r="BQ352" s="52"/>
      <c r="BR352" s="54"/>
      <c r="BS352" s="50"/>
      <c r="BT352" s="55"/>
      <c r="BU352" s="55"/>
      <c r="BV352" s="51"/>
      <c r="BW352" s="51"/>
      <c r="BX352" s="51"/>
      <c r="BY352" s="48"/>
      <c r="BZ352" s="48"/>
      <c r="CA352" s="50"/>
      <c r="CB352" s="52"/>
      <c r="CC352" s="54"/>
      <c r="CD352" s="50"/>
      <c r="CE352" s="55"/>
      <c r="CF352" s="55"/>
      <c r="CG352" s="51"/>
      <c r="CH352" s="51"/>
      <c r="CI352" s="51"/>
      <c r="CJ352" s="48"/>
      <c r="CK352" s="48"/>
      <c r="CL352" s="50"/>
      <c r="CM352" s="52"/>
      <c r="CN352" s="54"/>
      <c r="CO352" s="50"/>
      <c r="CP352" s="55"/>
      <c r="CQ352" s="55"/>
      <c r="CR352" s="51"/>
      <c r="CS352" s="51"/>
      <c r="CT352" s="51"/>
      <c r="CU352" s="48"/>
      <c r="CV352" s="48"/>
      <c r="CW352" s="50"/>
      <c r="CX352" s="50"/>
      <c r="CY352" s="54"/>
      <c r="CZ352" s="50"/>
      <c r="DA352" s="55"/>
      <c r="DB352" s="55"/>
      <c r="DC352" s="50"/>
      <c r="DD352" s="51"/>
      <c r="DE352" s="51"/>
      <c r="DF352" s="48"/>
      <c r="DG352" s="48"/>
      <c r="DH352" s="50"/>
      <c r="DI352" s="52"/>
    </row>
    <row r="353" spans="10:113" x14ac:dyDescent="0.25">
      <c r="J353" s="15">
        <v>7</v>
      </c>
      <c r="K353" s="53" t="e">
        <v>#N/A</v>
      </c>
      <c r="L353" s="47" t="e">
        <v>#N/A</v>
      </c>
      <c r="M353" s="54" t="e">
        <v>#N/A</v>
      </c>
      <c r="N353" s="50" t="e">
        <v>#N/A</v>
      </c>
      <c r="O353" s="55" t="e">
        <f ca="1"/>
        <v>#N/A</v>
      </c>
      <c r="P353" s="50" t="e">
        <f t="shared" ca="1" si="272"/>
        <v>#N/A</v>
      </c>
      <c r="Q353" s="534" t="e">
        <f ca="1">IF(O353=1,δ_0*(SLOPE(INDIRECT(VLOOKUP(S353,$S$346:$X$358,5,FALSE)),INDIRECT(VLOOKUP(S353,$S$346:$X$358,6,FALSE)))-SLOPE(INDIRECT(VLOOKUP(S353-1,$S$346:$X$358,5,FALSE)),INDIRECT(VLOOKUP(S353-1,$S$346:$X$358,6,FALSE)))),0)*86400*VLOOKUP($L$317,Aux!$AL$72:$AN$83,3,FALSE)</f>
        <v>#N/A</v>
      </c>
      <c r="R353" s="534">
        <f t="shared" ca="1" si="278"/>
        <v>0</v>
      </c>
      <c r="S353" s="535" cm="1">
        <f t="array" aca="1" ref="S353" ca="1">SUM(IF(ISNUMBER(T$346:T353),1,0))+IF($J353&gt;Capas_VN_C1,1,0)</f>
        <v>4</v>
      </c>
      <c r="T353" s="50" t="e">
        <f t="shared" ca="1" si="273"/>
        <v>#N/A</v>
      </c>
      <c r="U353" s="50" t="e">
        <f t="shared" ca="1" si="274"/>
        <v>#N/A</v>
      </c>
      <c r="V353" s="50" t="e">
        <f t="shared" ca="1" si="275"/>
        <v>#N/A</v>
      </c>
      <c r="W353" s="50" t="str">
        <f t="shared" ca="1" si="276"/>
        <v>$U$349:$U$350</v>
      </c>
      <c r="X353" s="214" t="str">
        <f t="shared" ca="1" si="277"/>
        <v>$V$349:$V$350</v>
      </c>
      <c r="Y353" s="50"/>
      <c r="Z353" s="50"/>
      <c r="AA353" s="214"/>
      <c r="AB353" s="51"/>
      <c r="AC353" s="51"/>
      <c r="AD353" s="51"/>
      <c r="AE353" s="48"/>
      <c r="AF353" s="48"/>
      <c r="AG353" s="50"/>
      <c r="AH353" s="50"/>
      <c r="AI353" s="51"/>
      <c r="AJ353" s="50"/>
      <c r="AK353" s="55"/>
      <c r="AL353" s="55"/>
      <c r="AM353" s="51"/>
      <c r="AN353" s="51"/>
      <c r="AO353" s="51"/>
      <c r="AP353" s="48"/>
      <c r="AQ353" s="48"/>
      <c r="AR353" s="50"/>
      <c r="AS353" s="50"/>
      <c r="AT353" s="51"/>
      <c r="AU353" s="50"/>
      <c r="AV353" s="55"/>
      <c r="AW353" s="55"/>
      <c r="AX353" s="50"/>
      <c r="AY353" s="51"/>
      <c r="AZ353" s="51"/>
      <c r="BA353" s="48"/>
      <c r="BB353" s="48"/>
      <c r="BC353" s="50"/>
      <c r="BD353" s="50"/>
      <c r="BP353" s="53"/>
      <c r="BQ353" s="52"/>
      <c r="BR353" s="54"/>
      <c r="BS353" s="50"/>
      <c r="BT353" s="55"/>
      <c r="BU353" s="55"/>
      <c r="BV353" s="51"/>
      <c r="BW353" s="51"/>
      <c r="BX353" s="51"/>
      <c r="BY353" s="48"/>
      <c r="BZ353" s="48"/>
      <c r="CA353" s="50"/>
      <c r="CB353" s="52"/>
      <c r="CC353" s="54"/>
      <c r="CD353" s="50"/>
      <c r="CE353" s="55"/>
      <c r="CF353" s="55"/>
      <c r="CG353" s="51"/>
      <c r="CH353" s="51"/>
      <c r="CI353" s="51"/>
      <c r="CJ353" s="48"/>
      <c r="CK353" s="48"/>
      <c r="CL353" s="50"/>
      <c r="CM353" s="52"/>
      <c r="CN353" s="54"/>
      <c r="CO353" s="50"/>
      <c r="CP353" s="55"/>
      <c r="CQ353" s="55"/>
      <c r="CR353" s="51"/>
      <c r="CS353" s="51"/>
      <c r="CT353" s="51"/>
      <c r="CU353" s="48"/>
      <c r="CV353" s="48"/>
      <c r="CW353" s="50"/>
      <c r="CX353" s="50"/>
      <c r="CY353" s="54"/>
      <c r="CZ353" s="50"/>
      <c r="DA353" s="55"/>
      <c r="DB353" s="55"/>
      <c r="DC353" s="50"/>
      <c r="DD353" s="51"/>
      <c r="DE353" s="51"/>
      <c r="DF353" s="48"/>
      <c r="DG353" s="48"/>
      <c r="DH353" s="50"/>
      <c r="DI353" s="52"/>
    </row>
    <row r="354" spans="10:113" x14ac:dyDescent="0.25">
      <c r="J354" s="15">
        <v>8</v>
      </c>
      <c r="K354" s="53" t="e">
        <v>#N/A</v>
      </c>
      <c r="L354" s="47" t="e">
        <v>#N/A</v>
      </c>
      <c r="M354" s="54" t="e">
        <v>#N/A</v>
      </c>
      <c r="N354" s="50" t="e">
        <v>#N/A</v>
      </c>
      <c r="O354" s="55" t="e">
        <f ca="1"/>
        <v>#N/A</v>
      </c>
      <c r="P354" s="50" t="e">
        <f t="shared" ca="1" si="272"/>
        <v>#N/A</v>
      </c>
      <c r="Q354" s="534" t="e">
        <f ca="1">IF(O354=1,δ_0*(SLOPE(INDIRECT(VLOOKUP(S354,$S$346:$X$358,5,FALSE)),INDIRECT(VLOOKUP(S354,$S$346:$X$358,6,FALSE)))-SLOPE(INDIRECT(VLOOKUP(S354-1,$S$346:$X$358,5,FALSE)),INDIRECT(VLOOKUP(S354-1,$S$346:$X$358,6,FALSE)))),0)*86400*VLOOKUP($L$317,Aux!$AL$72:$AN$83,3,FALSE)</f>
        <v>#N/A</v>
      </c>
      <c r="R354" s="534">
        <f t="shared" ca="1" si="278"/>
        <v>0</v>
      </c>
      <c r="S354" s="535" cm="1">
        <f t="array" aca="1" ref="S354" ca="1">SUM(IF(ISNUMBER(T$346:T354),1,0))+IF($J354&gt;Capas_VN_C1,1,0)</f>
        <v>4</v>
      </c>
      <c r="T354" s="50" t="e">
        <f t="shared" ca="1" si="273"/>
        <v>#N/A</v>
      </c>
      <c r="U354" s="50" t="e">
        <f t="shared" ca="1" si="274"/>
        <v>#N/A</v>
      </c>
      <c r="V354" s="50" t="e">
        <f t="shared" ca="1" si="275"/>
        <v>#N/A</v>
      </c>
      <c r="W354" s="50" t="str">
        <f t="shared" ca="1" si="276"/>
        <v>$U$349:$U$350</v>
      </c>
      <c r="X354" s="214" t="str">
        <f t="shared" ca="1" si="277"/>
        <v>$V$349:$V$350</v>
      </c>
      <c r="Y354" s="50"/>
      <c r="Z354" s="50"/>
      <c r="AA354" s="214"/>
      <c r="AB354" s="51"/>
      <c r="AC354" s="51"/>
      <c r="AD354" s="51"/>
      <c r="AE354" s="48"/>
      <c r="AF354" s="48"/>
      <c r="AG354" s="50"/>
      <c r="AH354" s="50"/>
      <c r="AI354" s="51"/>
      <c r="AJ354" s="50"/>
      <c r="AK354" s="55"/>
      <c r="AL354" s="55"/>
      <c r="AM354" s="51"/>
      <c r="AN354" s="51"/>
      <c r="AO354" s="51"/>
      <c r="AP354" s="48"/>
      <c r="AQ354" s="48"/>
      <c r="AR354" s="50"/>
      <c r="AS354" s="50"/>
      <c r="AT354" s="51"/>
      <c r="AU354" s="50"/>
      <c r="AV354" s="55"/>
      <c r="AW354" s="55"/>
      <c r="AX354" s="50"/>
      <c r="AY354" s="51"/>
      <c r="AZ354" s="51"/>
      <c r="BA354" s="48"/>
      <c r="BB354" s="48"/>
      <c r="BC354" s="50"/>
      <c r="BD354" s="50"/>
      <c r="BP354" s="53"/>
      <c r="BQ354" s="52"/>
      <c r="BR354" s="54"/>
      <c r="BS354" s="50"/>
      <c r="BT354" s="55"/>
      <c r="BU354" s="55"/>
      <c r="BV354" s="51"/>
      <c r="BW354" s="51"/>
      <c r="BX354" s="51"/>
      <c r="BY354" s="48"/>
      <c r="BZ354" s="48"/>
      <c r="CA354" s="50"/>
      <c r="CB354" s="52"/>
      <c r="CC354" s="54"/>
      <c r="CD354" s="50"/>
      <c r="CE354" s="55"/>
      <c r="CF354" s="55"/>
      <c r="CG354" s="51"/>
      <c r="CH354" s="51"/>
      <c r="CI354" s="51"/>
      <c r="CJ354" s="48"/>
      <c r="CK354" s="48"/>
      <c r="CL354" s="50"/>
      <c r="CM354" s="52"/>
      <c r="CN354" s="54"/>
      <c r="CO354" s="50"/>
      <c r="CP354" s="55"/>
      <c r="CQ354" s="55"/>
      <c r="CR354" s="51"/>
      <c r="CS354" s="51"/>
      <c r="CT354" s="51"/>
      <c r="CU354" s="48"/>
      <c r="CV354" s="48"/>
      <c r="CW354" s="50"/>
      <c r="CX354" s="50"/>
      <c r="CY354" s="54"/>
      <c r="CZ354" s="50"/>
      <c r="DA354" s="55"/>
      <c r="DB354" s="55"/>
      <c r="DC354" s="50"/>
      <c r="DD354" s="51"/>
      <c r="DE354" s="51"/>
      <c r="DF354" s="48"/>
      <c r="DG354" s="48"/>
      <c r="DH354" s="50"/>
      <c r="DI354" s="52"/>
    </row>
    <row r="355" spans="10:113" x14ac:dyDescent="0.25">
      <c r="J355" s="15">
        <v>9</v>
      </c>
      <c r="K355" s="53" t="e">
        <v>#N/A</v>
      </c>
      <c r="L355" s="47" t="e">
        <v>#N/A</v>
      </c>
      <c r="M355" s="54" t="e">
        <v>#N/A</v>
      </c>
      <c r="N355" s="50" t="e">
        <v>#N/A</v>
      </c>
      <c r="O355" s="55" t="e">
        <f ca="1"/>
        <v>#N/A</v>
      </c>
      <c r="P355" s="50" t="e">
        <f t="shared" ca="1" si="272"/>
        <v>#N/A</v>
      </c>
      <c r="Q355" s="534" t="e">
        <f ca="1">IF(O355=1,δ_0*(SLOPE(INDIRECT(VLOOKUP(S355,$S$346:$X$358,5,FALSE)),INDIRECT(VLOOKUP(S355,$S$346:$X$358,6,FALSE)))-SLOPE(INDIRECT(VLOOKUP(S355-1,$S$346:$X$358,5,FALSE)),INDIRECT(VLOOKUP(S355-1,$S$346:$X$358,6,FALSE)))),0)*86400*VLOOKUP($L$317,Aux!$AL$72:$AN$83,3,FALSE)</f>
        <v>#N/A</v>
      </c>
      <c r="R355" s="534">
        <f t="shared" ca="1" si="278"/>
        <v>0</v>
      </c>
      <c r="S355" s="535" cm="1">
        <f t="array" aca="1" ref="S355" ca="1">SUM(IF(ISNUMBER(T$346:T355),1,0))+IF($J355&gt;Capas_VN_C1,1,0)</f>
        <v>4</v>
      </c>
      <c r="T355" s="50" t="e">
        <f t="shared" ca="1" si="273"/>
        <v>#N/A</v>
      </c>
      <c r="U355" s="50" t="e">
        <f t="shared" ca="1" si="274"/>
        <v>#N/A</v>
      </c>
      <c r="V355" s="50" t="e">
        <f t="shared" ca="1" si="275"/>
        <v>#N/A</v>
      </c>
      <c r="W355" s="50" t="str">
        <f t="shared" ca="1" si="276"/>
        <v>$U$349:$U$350</v>
      </c>
      <c r="X355" s="214" t="str">
        <f t="shared" ca="1" si="277"/>
        <v>$V$349:$V$350</v>
      </c>
      <c r="Y355" s="50"/>
      <c r="Z355" s="50"/>
      <c r="AA355" s="214"/>
      <c r="AB355" s="51"/>
      <c r="AC355" s="51"/>
      <c r="AD355" s="51"/>
      <c r="AE355" s="48"/>
      <c r="AF355" s="48"/>
      <c r="AG355" s="50"/>
      <c r="AH355" s="50"/>
      <c r="AI355" s="51"/>
      <c r="AJ355" s="50"/>
      <c r="AK355" s="55"/>
      <c r="AL355" s="55"/>
      <c r="AM355" s="51"/>
      <c r="AN355" s="51"/>
      <c r="AO355" s="51"/>
      <c r="AP355" s="48"/>
      <c r="AQ355" s="48"/>
      <c r="AR355" s="50"/>
      <c r="AS355" s="50"/>
      <c r="AT355" s="51"/>
      <c r="AU355" s="50"/>
      <c r="AV355" s="55"/>
      <c r="AW355" s="55"/>
      <c r="AX355" s="50"/>
      <c r="AY355" s="51"/>
      <c r="AZ355" s="51"/>
      <c r="BA355" s="48"/>
      <c r="BB355" s="48"/>
      <c r="BC355" s="50"/>
      <c r="BD355" s="50"/>
      <c r="BP355" s="53"/>
      <c r="BQ355" s="52"/>
      <c r="BR355" s="54"/>
      <c r="BS355" s="50"/>
      <c r="BT355" s="55"/>
      <c r="BU355" s="55"/>
      <c r="BV355" s="51"/>
      <c r="BW355" s="51"/>
      <c r="BX355" s="51"/>
      <c r="BY355" s="48"/>
      <c r="BZ355" s="48"/>
      <c r="CA355" s="50"/>
      <c r="CB355" s="52"/>
      <c r="CC355" s="54"/>
      <c r="CD355" s="50"/>
      <c r="CE355" s="55"/>
      <c r="CF355" s="55"/>
      <c r="CG355" s="51"/>
      <c r="CH355" s="51"/>
      <c r="CI355" s="51"/>
      <c r="CJ355" s="48"/>
      <c r="CK355" s="48"/>
      <c r="CL355" s="50"/>
      <c r="CM355" s="52"/>
      <c r="CN355" s="54"/>
      <c r="CO355" s="50"/>
      <c r="CP355" s="55"/>
      <c r="CQ355" s="55"/>
      <c r="CR355" s="51"/>
      <c r="CS355" s="51"/>
      <c r="CT355" s="51"/>
      <c r="CU355" s="48"/>
      <c r="CV355" s="48"/>
      <c r="CW355" s="50"/>
      <c r="CX355" s="50"/>
      <c r="CY355" s="54"/>
      <c r="CZ355" s="50"/>
      <c r="DA355" s="55"/>
      <c r="DB355" s="55"/>
      <c r="DC355" s="50"/>
      <c r="DD355" s="51"/>
      <c r="DE355" s="51"/>
      <c r="DF355" s="48"/>
      <c r="DG355" s="48"/>
      <c r="DH355" s="50"/>
      <c r="DI355" s="52"/>
    </row>
    <row r="356" spans="10:113" x14ac:dyDescent="0.25">
      <c r="J356" s="15">
        <v>10</v>
      </c>
      <c r="K356" s="53" t="e">
        <v>#N/A</v>
      </c>
      <c r="L356" s="47" t="e">
        <v>#N/A</v>
      </c>
      <c r="M356" s="54" t="e">
        <v>#N/A</v>
      </c>
      <c r="N356" s="50" t="e">
        <v>#N/A</v>
      </c>
      <c r="O356" s="55" t="e">
        <f ca="1"/>
        <v>#N/A</v>
      </c>
      <c r="P356" s="50" t="e">
        <f t="shared" ca="1" si="272"/>
        <v>#N/A</v>
      </c>
      <c r="Q356" s="534" t="e">
        <f ca="1">IF(O356=1,δ_0*(SLOPE(INDIRECT(VLOOKUP(S356,$S$346:$X$358,5,FALSE)),INDIRECT(VLOOKUP(S356,$S$346:$X$358,6,FALSE)))-SLOPE(INDIRECT(VLOOKUP(S356-1,$S$346:$X$358,5,FALSE)),INDIRECT(VLOOKUP(S356-1,$S$346:$X$358,6,FALSE)))),0)*86400*VLOOKUP($L$317,Aux!$AL$72:$AN$83,3,FALSE)</f>
        <v>#N/A</v>
      </c>
      <c r="R356" s="534">
        <f t="shared" ca="1" si="278"/>
        <v>0</v>
      </c>
      <c r="S356" s="535" cm="1">
        <f t="array" aca="1" ref="S356" ca="1">SUM(IF(ISNUMBER(T$346:T356),1,0))+IF($J356&gt;Capas_VN_C1,1,0)</f>
        <v>4</v>
      </c>
      <c r="T356" s="50" t="e">
        <f t="shared" ca="1" si="273"/>
        <v>#N/A</v>
      </c>
      <c r="U356" s="50" t="e">
        <f t="shared" ca="1" si="274"/>
        <v>#N/A</v>
      </c>
      <c r="V356" s="50" t="e">
        <f t="shared" ca="1" si="275"/>
        <v>#N/A</v>
      </c>
      <c r="W356" s="50" t="str">
        <f t="shared" ca="1" si="276"/>
        <v>$U$349:$U$350</v>
      </c>
      <c r="X356" s="214" t="str">
        <f t="shared" ca="1" si="277"/>
        <v>$V$349:$V$350</v>
      </c>
      <c r="Y356" s="50"/>
      <c r="Z356" s="50"/>
      <c r="AA356" s="214"/>
      <c r="AB356" s="51"/>
      <c r="AC356" s="51"/>
      <c r="AD356" s="51"/>
      <c r="AE356" s="48"/>
      <c r="AF356" s="48"/>
      <c r="AG356" s="50"/>
      <c r="AH356" s="50"/>
      <c r="AI356" s="51"/>
      <c r="AJ356" s="50"/>
      <c r="AK356" s="55"/>
      <c r="AL356" s="55"/>
      <c r="AM356" s="51"/>
      <c r="AN356" s="51"/>
      <c r="AO356" s="51"/>
      <c r="AP356" s="48"/>
      <c r="AQ356" s="48"/>
      <c r="AR356" s="50"/>
      <c r="AS356" s="50"/>
      <c r="AT356" s="51"/>
      <c r="AU356" s="50"/>
      <c r="AV356" s="55"/>
      <c r="AW356" s="55"/>
      <c r="AX356" s="50"/>
      <c r="AY356" s="51"/>
      <c r="AZ356" s="51"/>
      <c r="BA356" s="48"/>
      <c r="BB356" s="48"/>
      <c r="BC356" s="50"/>
      <c r="BD356" s="50"/>
      <c r="BP356" s="53"/>
      <c r="BQ356" s="52"/>
      <c r="BR356" s="54"/>
      <c r="BS356" s="50"/>
      <c r="BT356" s="55"/>
      <c r="BU356" s="55"/>
      <c r="BV356" s="51"/>
      <c r="BW356" s="51"/>
      <c r="BX356" s="51"/>
      <c r="BY356" s="48"/>
      <c r="BZ356" s="48"/>
      <c r="CA356" s="50"/>
      <c r="CB356" s="52"/>
      <c r="CC356" s="54"/>
      <c r="CD356" s="50"/>
      <c r="CE356" s="55"/>
      <c r="CF356" s="55"/>
      <c r="CG356" s="51"/>
      <c r="CH356" s="51"/>
      <c r="CI356" s="51"/>
      <c r="CJ356" s="48"/>
      <c r="CK356" s="48"/>
      <c r="CL356" s="50"/>
      <c r="CM356" s="52"/>
      <c r="CN356" s="54"/>
      <c r="CO356" s="50"/>
      <c r="CP356" s="55"/>
      <c r="CQ356" s="55"/>
      <c r="CR356" s="51"/>
      <c r="CS356" s="51"/>
      <c r="CT356" s="51"/>
      <c r="CU356" s="48"/>
      <c r="CV356" s="48"/>
      <c r="CW356" s="50"/>
      <c r="CX356" s="50"/>
      <c r="CY356" s="54"/>
      <c r="CZ356" s="50"/>
      <c r="DA356" s="55"/>
      <c r="DB356" s="55"/>
      <c r="DC356" s="50"/>
      <c r="DD356" s="51"/>
      <c r="DE356" s="51"/>
      <c r="DF356" s="48"/>
      <c r="DG356" s="48"/>
      <c r="DH356" s="50"/>
      <c r="DI356" s="52"/>
    </row>
    <row r="357" spans="10:113" x14ac:dyDescent="0.25">
      <c r="J357" s="15">
        <v>11</v>
      </c>
      <c r="K357" s="53" t="e">
        <v>#N/A</v>
      </c>
      <c r="L357" s="47" t="e">
        <v>#N/A</v>
      </c>
      <c r="M357" s="54" t="e">
        <v>#N/A</v>
      </c>
      <c r="N357" s="50" t="e">
        <v>#N/A</v>
      </c>
      <c r="O357" s="55" t="e">
        <f ca="1"/>
        <v>#N/A</v>
      </c>
      <c r="P357" s="50" t="e">
        <f t="shared" ca="1" si="272"/>
        <v>#N/A</v>
      </c>
      <c r="Q357" s="534" t="e">
        <f ca="1">IF(O357=1,δ_0*(SLOPE(INDIRECT(VLOOKUP(S357,$S$346:$X$358,5,FALSE)),INDIRECT(VLOOKUP(S357,$S$346:$X$358,6,FALSE)))-SLOPE(INDIRECT(VLOOKUP(S357-1,$S$346:$X$358,5,FALSE)),INDIRECT(VLOOKUP(S357-1,$S$346:$X$358,6,FALSE)))),0)*86400*VLOOKUP($L$317,Aux!$AL$72:$AN$83,3,FALSE)</f>
        <v>#N/A</v>
      </c>
      <c r="R357" s="534">
        <f t="shared" ca="1" si="278"/>
        <v>0</v>
      </c>
      <c r="S357" s="535" cm="1">
        <f t="array" aca="1" ref="S357" ca="1">SUM(IF(ISNUMBER(T$346:T357),1,0))+IF($J357&gt;Capas_VN_C1,1,0)</f>
        <v>4</v>
      </c>
      <c r="T357" s="50" t="e">
        <f t="shared" ca="1" si="273"/>
        <v>#N/A</v>
      </c>
      <c r="U357" s="50" t="e">
        <f t="shared" ca="1" si="274"/>
        <v>#N/A</v>
      </c>
      <c r="V357" s="50" t="e">
        <f t="shared" ca="1" si="275"/>
        <v>#N/A</v>
      </c>
      <c r="W357" s="50" t="str">
        <f t="shared" ca="1" si="276"/>
        <v>$U$349:$U$350</v>
      </c>
      <c r="X357" s="214" t="str">
        <f t="shared" ca="1" si="277"/>
        <v>$V$349:$V$350</v>
      </c>
      <c r="Y357" s="50"/>
      <c r="Z357" s="50"/>
      <c r="AA357" s="214"/>
      <c r="AB357" s="51"/>
      <c r="AC357" s="51"/>
      <c r="AD357" s="51"/>
      <c r="AE357" s="48"/>
      <c r="AF357" s="48"/>
      <c r="AG357" s="50"/>
      <c r="AH357" s="50"/>
      <c r="AI357" s="51"/>
      <c r="AJ357" s="50"/>
      <c r="AK357" s="55"/>
      <c r="AL357" s="55"/>
      <c r="AM357" s="51"/>
      <c r="AN357" s="51"/>
      <c r="AO357" s="51"/>
      <c r="AP357" s="48"/>
      <c r="AQ357" s="48"/>
      <c r="AR357" s="50"/>
      <c r="AS357" s="50"/>
      <c r="AT357" s="51"/>
      <c r="AU357" s="50"/>
      <c r="AV357" s="55"/>
      <c r="AW357" s="55"/>
      <c r="AX357" s="50"/>
      <c r="AY357" s="51"/>
      <c r="AZ357" s="51"/>
      <c r="BA357" s="48"/>
      <c r="BB357" s="48"/>
      <c r="BC357" s="50"/>
      <c r="BD357" s="50"/>
      <c r="BP357" s="53"/>
      <c r="BQ357" s="52"/>
      <c r="BR357" s="54"/>
      <c r="BS357" s="50"/>
      <c r="BT357" s="55"/>
      <c r="BU357" s="55"/>
      <c r="BV357" s="51"/>
      <c r="BW357" s="51"/>
      <c r="BX357" s="51"/>
      <c r="BY357" s="48"/>
      <c r="BZ357" s="48"/>
      <c r="CA357" s="50"/>
      <c r="CB357" s="52"/>
      <c r="CC357" s="54"/>
      <c r="CD357" s="50"/>
      <c r="CE357" s="55"/>
      <c r="CF357" s="55"/>
      <c r="CG357" s="51"/>
      <c r="CH357" s="51"/>
      <c r="CI357" s="51"/>
      <c r="CJ357" s="48"/>
      <c r="CK357" s="48"/>
      <c r="CL357" s="50"/>
      <c r="CM357" s="52"/>
      <c r="CN357" s="54"/>
      <c r="CO357" s="50"/>
      <c r="CP357" s="55"/>
      <c r="CQ357" s="55"/>
      <c r="CR357" s="51"/>
      <c r="CS357" s="51"/>
      <c r="CT357" s="51"/>
      <c r="CU357" s="48"/>
      <c r="CV357" s="48"/>
      <c r="CW357" s="50"/>
      <c r="CX357" s="50"/>
      <c r="CY357" s="54"/>
      <c r="CZ357" s="50"/>
      <c r="DA357" s="55"/>
      <c r="DB357" s="55"/>
      <c r="DC357" s="50"/>
      <c r="DD357" s="51"/>
      <c r="DE357" s="51"/>
      <c r="DF357" s="48"/>
      <c r="DG357" s="48"/>
      <c r="DH357" s="50"/>
      <c r="DI357" s="52"/>
    </row>
    <row r="358" spans="10:113" x14ac:dyDescent="0.25">
      <c r="J358" s="517">
        <v>12</v>
      </c>
      <c r="K358" s="53" t="e">
        <v>#N/A</v>
      </c>
      <c r="L358" s="47" t="e">
        <v>#N/A</v>
      </c>
      <c r="M358" s="54" t="e">
        <v>#N/A</v>
      </c>
      <c r="N358" s="50" t="e">
        <v>#N/A</v>
      </c>
      <c r="O358" s="55" t="e">
        <f ca="1"/>
        <v>#N/A</v>
      </c>
      <c r="P358" s="50" t="e">
        <f t="shared" ca="1" si="272"/>
        <v>#N/A</v>
      </c>
      <c r="Q358" s="534" t="e">
        <f ca="1">IF(O358=1,δ_0*(SLOPE(INDIRECT(VLOOKUP(S358,$S$346:$X$358,5,FALSE)),INDIRECT(VLOOKUP(S358,$S$346:$X$358,6,FALSE)))-SLOPE(INDIRECT(VLOOKUP(S358-1,$S$346:$X$358,5,FALSE)),INDIRECT(VLOOKUP(S358-1,$S$346:$X$358,6,FALSE)))),0)*86400*VLOOKUP($L$317,Aux!$AL$72:$AN$83,3,FALSE)</f>
        <v>#N/A</v>
      </c>
      <c r="R358" s="534">
        <f t="shared" ca="1" si="278"/>
        <v>0</v>
      </c>
      <c r="S358" s="535" cm="1">
        <f t="array" aca="1" ref="S358" ca="1">SUM(IF(ISNUMBER(T$346:T358),1,0))+IF($J358&gt;Capas_VN_C1,1,0)</f>
        <v>4</v>
      </c>
      <c r="T358" s="50" t="e">
        <f t="shared" ca="1" si="273"/>
        <v>#N/A</v>
      </c>
      <c r="U358" s="50" t="e">
        <f t="shared" ca="1" si="274"/>
        <v>#N/A</v>
      </c>
      <c r="V358" s="50" t="e">
        <f t="shared" ca="1" si="275"/>
        <v>#N/A</v>
      </c>
      <c r="W358" s="50" t="str">
        <f t="shared" ca="1" si="276"/>
        <v>$U$349:$U$350</v>
      </c>
      <c r="X358" s="214" t="str">
        <f t="shared" ca="1" si="277"/>
        <v>$V$349:$V$350</v>
      </c>
      <c r="Y358" s="50"/>
      <c r="Z358" s="50"/>
      <c r="AA358" s="214"/>
      <c r="AB358" s="51"/>
      <c r="AC358" s="51"/>
      <c r="AD358" s="51"/>
      <c r="AE358" s="48"/>
      <c r="AF358" s="48"/>
      <c r="AG358" s="50"/>
      <c r="AH358" s="50"/>
      <c r="AI358" s="51"/>
      <c r="AJ358" s="50"/>
      <c r="AK358" s="55"/>
      <c r="AL358" s="55"/>
      <c r="AM358" s="51"/>
      <c r="AN358" s="51"/>
      <c r="AO358" s="51"/>
      <c r="AP358" s="48"/>
      <c r="AQ358" s="48"/>
      <c r="AR358" s="50"/>
      <c r="AS358" s="50"/>
      <c r="AT358" s="51"/>
      <c r="AU358" s="50"/>
      <c r="AV358" s="55"/>
      <c r="AW358" s="55"/>
      <c r="AX358" s="50"/>
      <c r="AY358" s="51"/>
      <c r="AZ358" s="51"/>
      <c r="BA358" s="48"/>
      <c r="BB358" s="48"/>
      <c r="BC358" s="50"/>
      <c r="BD358" s="50"/>
      <c r="BP358" s="53"/>
      <c r="BQ358" s="52"/>
      <c r="BR358" s="54"/>
      <c r="BS358" s="50"/>
      <c r="BT358" s="55"/>
      <c r="BU358" s="55"/>
      <c r="BV358" s="51"/>
      <c r="BW358" s="51"/>
      <c r="BX358" s="51"/>
      <c r="BY358" s="48"/>
      <c r="BZ358" s="48"/>
      <c r="CA358" s="50"/>
      <c r="CB358" s="52"/>
      <c r="CC358" s="54"/>
      <c r="CD358" s="50"/>
      <c r="CE358" s="55"/>
      <c r="CF358" s="55"/>
      <c r="CG358" s="51"/>
      <c r="CH358" s="51"/>
      <c r="CI358" s="51"/>
      <c r="CJ358" s="48"/>
      <c r="CK358" s="48"/>
      <c r="CL358" s="50"/>
      <c r="CM358" s="52"/>
      <c r="CN358" s="54"/>
      <c r="CO358" s="50"/>
      <c r="CP358" s="55"/>
      <c r="CQ358" s="55"/>
      <c r="CR358" s="51"/>
      <c r="CS358" s="51"/>
      <c r="CT358" s="51"/>
      <c r="CU358" s="48"/>
      <c r="CV358" s="48"/>
      <c r="CW358" s="50"/>
      <c r="CX358" s="50"/>
      <c r="CY358" s="54"/>
      <c r="CZ358" s="50"/>
      <c r="DA358" s="55"/>
      <c r="DB358" s="55"/>
      <c r="DC358" s="50"/>
      <c r="DD358" s="51"/>
      <c r="DE358" s="51"/>
      <c r="DF358" s="48"/>
      <c r="DG358" s="48"/>
      <c r="DH358" s="50"/>
      <c r="DI358" s="52"/>
    </row>
    <row r="359" spans="10:113" ht="15.75" thickBot="1" x14ac:dyDescent="0.3">
      <c r="J359" s="517"/>
      <c r="K359" s="53"/>
      <c r="L359" s="52"/>
      <c r="M359" s="62"/>
      <c r="N359" s="65"/>
      <c r="O359" s="65"/>
      <c r="P359" s="58"/>
      <c r="Q359" s="65"/>
      <c r="R359" s="65"/>
      <c r="S359" s="62"/>
      <c r="T359" s="65"/>
      <c r="U359" s="65"/>
      <c r="V359" s="65"/>
      <c r="W359" s="65"/>
      <c r="X359" s="61"/>
      <c r="Y359" s="65"/>
      <c r="Z359" s="65"/>
      <c r="AA359" s="61"/>
      <c r="AB359" s="51"/>
      <c r="AC359" s="51"/>
      <c r="AD359" s="51"/>
      <c r="AE359" s="48"/>
      <c r="AF359" s="48"/>
      <c r="AG359" s="50"/>
      <c r="AH359" s="50"/>
      <c r="AI359" s="51"/>
      <c r="AJ359" s="50"/>
      <c r="AK359" s="55"/>
      <c r="AL359" s="55"/>
      <c r="AM359" s="51"/>
      <c r="AN359" s="51"/>
      <c r="AO359" s="51"/>
      <c r="AP359" s="48"/>
      <c r="AQ359" s="48"/>
      <c r="AR359" s="50"/>
      <c r="AS359" s="50"/>
      <c r="AT359" s="51"/>
      <c r="AU359" s="50"/>
      <c r="AV359" s="55"/>
      <c r="AW359" s="55"/>
      <c r="AX359" s="50"/>
      <c r="AY359" s="51"/>
      <c r="AZ359" s="51"/>
      <c r="BA359" s="48"/>
      <c r="BB359" s="48"/>
      <c r="BC359" s="50"/>
      <c r="BD359" s="50"/>
      <c r="BP359" s="53"/>
      <c r="BQ359" s="52"/>
      <c r="BR359" s="54"/>
      <c r="BS359" s="50"/>
      <c r="BT359" s="55"/>
      <c r="BU359" s="55"/>
      <c r="BV359" s="51"/>
      <c r="BW359" s="51"/>
      <c r="BX359" s="51"/>
      <c r="BY359" s="48"/>
      <c r="BZ359" s="48"/>
      <c r="CA359" s="50"/>
      <c r="CB359" s="52"/>
      <c r="CC359" s="54"/>
      <c r="CD359" s="50"/>
      <c r="CE359" s="55"/>
      <c r="CF359" s="55"/>
      <c r="CG359" s="51"/>
      <c r="CH359" s="51"/>
      <c r="CI359" s="51"/>
      <c r="CJ359" s="48"/>
      <c r="CK359" s="48"/>
      <c r="CL359" s="50"/>
      <c r="CM359" s="52"/>
      <c r="CN359" s="54"/>
      <c r="CO359" s="50"/>
      <c r="CP359" s="55"/>
      <c r="CQ359" s="55"/>
      <c r="CR359" s="51"/>
      <c r="CS359" s="51"/>
      <c r="CT359" s="51"/>
      <c r="CU359" s="48"/>
      <c r="CV359" s="48"/>
      <c r="CW359" s="50"/>
      <c r="CX359" s="50"/>
      <c r="CY359" s="54"/>
      <c r="CZ359" s="50"/>
      <c r="DA359" s="55"/>
      <c r="DB359" s="55"/>
      <c r="DC359" s="50"/>
      <c r="DD359" s="51"/>
      <c r="DE359" s="51"/>
      <c r="DF359" s="48"/>
      <c r="DG359" s="48"/>
      <c r="DH359" s="50"/>
      <c r="DI359" s="52"/>
    </row>
    <row r="360" spans="10:113" ht="15.75" thickBot="1" x14ac:dyDescent="0.3">
      <c r="K360" s="68" t="s">
        <v>145</v>
      </c>
      <c r="L360" s="505">
        <v>10</v>
      </c>
      <c r="M360" s="506" t="s">
        <v>275</v>
      </c>
      <c r="N360" s="507">
        <v>20</v>
      </c>
      <c r="O360" s="36" t="s">
        <v>735</v>
      </c>
      <c r="P360" s="513">
        <v>383.50349841753086</v>
      </c>
      <c r="Y360" s="50"/>
      <c r="Z360" s="50"/>
      <c r="AA360" s="55"/>
      <c r="AI360" s="50"/>
      <c r="AK360" s="50"/>
      <c r="AL360" s="55"/>
      <c r="AT360" s="50"/>
      <c r="BP360" s="62"/>
      <c r="BQ360" s="63"/>
      <c r="BR360" s="62"/>
      <c r="BS360" s="65"/>
      <c r="BT360" s="64"/>
      <c r="BU360" s="58"/>
      <c r="BV360" s="58"/>
      <c r="BW360" s="58"/>
      <c r="BX360" s="58"/>
      <c r="BY360" s="58"/>
      <c r="BZ360" s="58"/>
      <c r="CA360" s="58"/>
      <c r="CB360" s="61"/>
      <c r="CC360" s="62"/>
      <c r="CD360" s="65"/>
      <c r="CE360" s="64"/>
      <c r="CF360" s="58"/>
      <c r="CG360" s="58"/>
      <c r="CH360" s="58"/>
      <c r="CI360" s="58"/>
      <c r="CJ360" s="58"/>
      <c r="CK360" s="58"/>
      <c r="CL360" s="58"/>
      <c r="CM360" s="61"/>
      <c r="CN360" s="62"/>
      <c r="CO360" s="58"/>
      <c r="CP360" s="65"/>
      <c r="CQ360" s="64"/>
      <c r="CR360" s="58"/>
      <c r="CS360" s="58"/>
      <c r="CT360" s="58"/>
      <c r="CU360" s="58"/>
      <c r="CV360" s="58"/>
      <c r="CW360" s="58"/>
      <c r="CX360" s="58"/>
      <c r="CY360" s="62"/>
      <c r="CZ360" s="58"/>
      <c r="DA360" s="58"/>
      <c r="DB360" s="58"/>
      <c r="DC360" s="58"/>
      <c r="DD360" s="58"/>
      <c r="DE360" s="58"/>
      <c r="DF360" s="58"/>
      <c r="DG360" s="58"/>
      <c r="DH360" s="58"/>
      <c r="DI360" s="61"/>
    </row>
    <row r="361" spans="10:113" x14ac:dyDescent="0.25">
      <c r="K361" s="75" t="s">
        <v>144</v>
      </c>
      <c r="L361" s="22">
        <v>0.83</v>
      </c>
      <c r="M361" s="80" t="s">
        <v>771</v>
      </c>
      <c r="N361" s="508">
        <v>0.6</v>
      </c>
      <c r="O361" s="68" t="s">
        <v>780</v>
      </c>
      <c r="P361" s="507" t="b">
        <v>1</v>
      </c>
      <c r="U361" s="22"/>
      <c r="V361" s="22"/>
      <c r="Y361" s="22"/>
      <c r="Z361" s="28"/>
      <c r="AA361" s="48"/>
      <c r="AI361" s="22"/>
      <c r="AJ361" s="28"/>
      <c r="AK361" s="48"/>
      <c r="AT361" s="22"/>
      <c r="AU361" s="28"/>
      <c r="AV361" s="48"/>
      <c r="BP361" s="68" t="s">
        <v>144</v>
      </c>
      <c r="BQ361" s="73" t="e">
        <f>IF([0]!Casilla2,φe_H1_C1,VLOOKUP(Seccion1!provincia_C1,datos_humedad_julio[],$L$57+1,FALSE))</f>
        <v>#NAME?</v>
      </c>
      <c r="BR361" s="111"/>
      <c r="BS361" s="77" t="s">
        <v>160</v>
      </c>
      <c r="BT361" s="70"/>
      <c r="BU361" s="38"/>
      <c r="BV361" s="38"/>
      <c r="BW361" s="38"/>
      <c r="BX361" s="38"/>
      <c r="BY361" s="71"/>
      <c r="BZ361" s="71"/>
      <c r="CA361" s="38"/>
      <c r="CB361" s="72"/>
      <c r="CC361" s="111"/>
      <c r="CD361" s="77" t="s">
        <v>160</v>
      </c>
      <c r="CE361" s="67"/>
      <c r="CF361" s="38"/>
      <c r="CG361" s="38"/>
      <c r="CH361" s="38"/>
      <c r="CI361" s="38"/>
      <c r="CJ361" s="38"/>
      <c r="CK361" s="38"/>
      <c r="CL361" s="38"/>
      <c r="CM361" s="72"/>
      <c r="CN361" s="111"/>
      <c r="CO361" s="77" t="s">
        <v>160</v>
      </c>
      <c r="CP361" s="67"/>
      <c r="CQ361" s="38"/>
      <c r="CR361" s="38"/>
      <c r="CS361" s="38"/>
      <c r="CT361" s="38"/>
      <c r="CU361" s="38"/>
      <c r="CV361" s="38"/>
      <c r="CW361" s="38"/>
      <c r="CX361" s="38"/>
      <c r="CY361" s="111"/>
      <c r="CZ361" s="77" t="s">
        <v>160</v>
      </c>
      <c r="DA361" s="67"/>
      <c r="DB361" s="38"/>
      <c r="DC361" s="38"/>
      <c r="DD361" s="38"/>
      <c r="DE361" s="38"/>
      <c r="DF361" s="38"/>
      <c r="DG361" s="38"/>
      <c r="DH361" s="38"/>
      <c r="DI361" s="72"/>
    </row>
    <row r="362" spans="10:113" x14ac:dyDescent="0.25">
      <c r="K362" s="75" t="s">
        <v>108</v>
      </c>
      <c r="L362" s="79">
        <v>1227.3098648962341</v>
      </c>
      <c r="M362" s="80" t="s">
        <v>109</v>
      </c>
      <c r="N362" s="78">
        <v>2336.9511438023419</v>
      </c>
      <c r="O362" s="75" t="s">
        <v>782</v>
      </c>
      <c r="P362" s="508">
        <v>1</v>
      </c>
      <c r="U362" s="48"/>
      <c r="V362" s="48"/>
      <c r="Y362" s="82"/>
      <c r="Z362" s="80"/>
      <c r="AA362" s="48"/>
      <c r="AI362" s="82"/>
      <c r="AJ362" s="80"/>
      <c r="AK362" s="48"/>
      <c r="AT362" s="82"/>
      <c r="AU362" s="80"/>
      <c r="AV362" s="48"/>
      <c r="BP362" s="75" t="s">
        <v>145</v>
      </c>
      <c r="BQ362" s="76" t="e">
        <f>IF([0]!Casilla2,φe_H1_C1,VLOOKUP(Seccion1!provincia_C1,datos_temperatura_julio[],$L$57+1,FALSE))</f>
        <v>#NAME?</v>
      </c>
      <c r="BR362" s="112"/>
      <c r="BS362" s="80" t="s">
        <v>162</v>
      </c>
      <c r="BT362" s="17"/>
      <c r="BY362" s="48"/>
      <c r="BZ362" s="48"/>
      <c r="CB362" s="49"/>
      <c r="CC362" s="112"/>
      <c r="CD362" s="80" t="s">
        <v>162</v>
      </c>
      <c r="CE362" s="48"/>
      <c r="CM362" s="49"/>
      <c r="CN362" s="112"/>
      <c r="CO362" s="80" t="s">
        <v>162</v>
      </c>
      <c r="CP362" s="48"/>
      <c r="CY362" s="112"/>
      <c r="CZ362" s="80" t="s">
        <v>162</v>
      </c>
      <c r="DA362" s="48"/>
      <c r="DI362" s="49"/>
    </row>
    <row r="363" spans="10:113" ht="18.75" thickBot="1" x14ac:dyDescent="0.4">
      <c r="K363" s="486" t="s">
        <v>156</v>
      </c>
      <c r="L363" s="509">
        <v>1018.6671878638742</v>
      </c>
      <c r="M363" s="115" t="s">
        <v>781</v>
      </c>
      <c r="N363" s="487">
        <v>1402.1706862814051</v>
      </c>
      <c r="O363" s="75" t="s">
        <v>161</v>
      </c>
      <c r="P363" s="508">
        <v>1.2719597567462367E-11</v>
      </c>
      <c r="Y363" s="79"/>
      <c r="Z363" s="80"/>
      <c r="AA363" s="79"/>
      <c r="AI363" s="79"/>
      <c r="AJ363" s="80"/>
      <c r="AK363" s="79"/>
      <c r="AT363" s="79"/>
      <c r="AU363" s="80"/>
      <c r="AV363" s="79"/>
      <c r="BP363" s="75" t="s">
        <v>108</v>
      </c>
      <c r="BQ363" s="78">
        <f ca="1">IF(ISNUMBER(ϴe_H3_C1),IF(ϴe_H3_C1&gt;=0,610.5*EXP((17.269*ϴe_H3_C1)/(237.3+ϴe_H3_C1)),610.5*EXP((21.875*ϴe_H3_C1)/(265.5+ϴe_H3_C1))),NA())</f>
        <v>871.86452524041533</v>
      </c>
      <c r="BR363" s="113"/>
      <c r="BS363" s="80" t="s">
        <v>125</v>
      </c>
      <c r="BT363" s="79"/>
      <c r="CB363" s="49"/>
      <c r="CC363" s="113"/>
      <c r="CD363" s="80" t="s">
        <v>125</v>
      </c>
      <c r="CE363" s="79"/>
      <c r="CM363" s="49"/>
      <c r="CN363" s="113"/>
      <c r="CO363" s="80" t="s">
        <v>125</v>
      </c>
      <c r="CP363" s="79"/>
      <c r="CY363" s="113"/>
      <c r="CZ363" s="80" t="s">
        <v>125</v>
      </c>
      <c r="DA363" s="79"/>
      <c r="DI363" s="49"/>
    </row>
    <row r="364" spans="10:113" ht="18" x14ac:dyDescent="0.35">
      <c r="K364" s="68" t="s">
        <v>779</v>
      </c>
      <c r="L364" s="70" t="b">
        <v>0</v>
      </c>
      <c r="M364" s="38"/>
      <c r="N364" s="72"/>
      <c r="O364" s="75" t="s">
        <v>628</v>
      </c>
      <c r="P364" s="49"/>
      <c r="Y364" s="79"/>
      <c r="Z364" s="80"/>
      <c r="AA364" s="82"/>
      <c r="AI364" s="79"/>
      <c r="AJ364" s="80"/>
      <c r="AK364" s="82"/>
      <c r="AT364" s="79"/>
      <c r="AU364" s="80"/>
      <c r="AV364" s="82"/>
      <c r="BP364" s="81" t="s">
        <v>109</v>
      </c>
      <c r="BQ364" s="78" t="e">
        <f>IF(ISNUMBER([0]!ϴi_C1),IF([0]!ϴi_C1&gt;=0,610.5*EXP((17.269*[0]!ϴi_C1)/(237.3+[0]!ϴi_C1)),610.5*EXP((21.875*[0]!ϴi_C1)/(265.5+[0]!ϴi_C1))),NA())</f>
        <v>#N/A</v>
      </c>
      <c r="BR364" s="113"/>
      <c r="BS364" s="80" t="s">
        <v>126</v>
      </c>
      <c r="BT364" s="82"/>
      <c r="CB364" s="49"/>
      <c r="CC364" s="113"/>
      <c r="CD364" s="80" t="s">
        <v>126</v>
      </c>
      <c r="CE364" s="82"/>
      <c r="CM364" s="49"/>
      <c r="CN364" s="113"/>
      <c r="CO364" s="80" t="s">
        <v>126</v>
      </c>
      <c r="CP364" s="82"/>
      <c r="CY364" s="113"/>
      <c r="CZ364" s="80" t="s">
        <v>126</v>
      </c>
      <c r="DA364" s="82"/>
      <c r="DI364" s="49"/>
    </row>
    <row r="365" spans="10:113" ht="18" x14ac:dyDescent="0.35">
      <c r="K365" s="75" t="s">
        <v>125</v>
      </c>
      <c r="L365" s="79">
        <v>1752.7133578517562</v>
      </c>
      <c r="M365" s="80" t="s">
        <v>126</v>
      </c>
      <c r="N365" s="76">
        <v>15.434873367879986</v>
      </c>
      <c r="O365" s="43"/>
      <c r="P365" s="49"/>
      <c r="Y365" s="79"/>
      <c r="Z365" s="80"/>
      <c r="AA365" s="83"/>
      <c r="AI365" s="79"/>
      <c r="AJ365" s="80"/>
      <c r="AK365" s="83"/>
      <c r="AT365" s="79"/>
      <c r="AU365" s="80"/>
      <c r="AV365" s="83"/>
      <c r="BP365" s="75" t="s">
        <v>156</v>
      </c>
      <c r="BQ365" s="78">
        <f ca="1">P_sat_e_VN_C1*φe_H3_C1</f>
        <v>767.24078221156549</v>
      </c>
      <c r="BR365" s="113"/>
      <c r="BS365" s="80" t="s">
        <v>127</v>
      </c>
      <c r="BT365" s="83"/>
      <c r="CB365" s="49"/>
      <c r="CC365" s="113"/>
      <c r="CD365" s="80" t="s">
        <v>127</v>
      </c>
      <c r="CE365" s="83"/>
      <c r="CM365" s="49"/>
      <c r="CN365" s="113"/>
      <c r="CO365" s="80" t="s">
        <v>127</v>
      </c>
      <c r="CP365" s="83"/>
      <c r="CY365" s="113"/>
      <c r="CZ365" s="80" t="s">
        <v>127</v>
      </c>
      <c r="DA365" s="83"/>
      <c r="DI365" s="49"/>
    </row>
    <row r="366" spans="10:113" ht="18.75" thickBot="1" x14ac:dyDescent="0.4">
      <c r="K366" s="486" t="s">
        <v>127</v>
      </c>
      <c r="L366" s="512">
        <v>0.54348733678799854</v>
      </c>
      <c r="M366" s="115" t="s">
        <v>122</v>
      </c>
      <c r="N366" s="510">
        <v>0.28476756610720538</v>
      </c>
      <c r="O366" s="57"/>
      <c r="P366" s="61"/>
      <c r="Y366" s="22"/>
      <c r="Z366" s="80"/>
      <c r="AA366" s="22"/>
      <c r="AI366" s="22"/>
      <c r="AJ366" s="80"/>
      <c r="AK366" s="22"/>
      <c r="AT366" s="22"/>
      <c r="AU366" s="80"/>
      <c r="AV366" s="22"/>
      <c r="BP366" s="75"/>
      <c r="BR366" s="114"/>
      <c r="BS366" s="80" t="s">
        <v>122</v>
      </c>
      <c r="BT366" s="22"/>
      <c r="CB366" s="49"/>
      <c r="CC366" s="114"/>
      <c r="CD366" s="80" t="s">
        <v>122</v>
      </c>
      <c r="CE366" s="22"/>
      <c r="CM366" s="49"/>
      <c r="CN366" s="114"/>
      <c r="CO366" s="80" t="s">
        <v>122</v>
      </c>
      <c r="CP366" s="22"/>
      <c r="CY366" s="114"/>
      <c r="CZ366" s="80" t="s">
        <v>122</v>
      </c>
      <c r="DA366" s="22"/>
      <c r="DI366" s="49"/>
    </row>
    <row r="367" spans="10:113" x14ac:dyDescent="0.25">
      <c r="K367" s="80"/>
      <c r="N367" s="28"/>
      <c r="O367" s="17"/>
      <c r="Z367" s="28"/>
      <c r="AA367" s="17"/>
      <c r="AJ367" s="28"/>
      <c r="AK367" s="17"/>
      <c r="AU367" s="28"/>
      <c r="AV367" s="17"/>
      <c r="BP367" s="43"/>
      <c r="BQ367" s="49"/>
      <c r="BR367" s="43"/>
      <c r="BS367" s="28" t="s">
        <v>159</v>
      </c>
      <c r="BT367" s="17"/>
      <c r="CB367" s="49"/>
      <c r="CC367" s="43"/>
      <c r="CD367" s="28" t="s">
        <v>159</v>
      </c>
      <c r="CE367" s="17"/>
      <c r="CM367" s="49"/>
      <c r="CN367" s="43"/>
      <c r="CO367" s="28" t="s">
        <v>159</v>
      </c>
      <c r="CP367" s="17"/>
      <c r="CY367" s="43"/>
      <c r="CZ367" s="28" t="s">
        <v>159</v>
      </c>
      <c r="DA367" s="17"/>
      <c r="DI367" s="49"/>
    </row>
    <row r="368" spans="10:113" ht="15.75" thickBot="1" x14ac:dyDescent="0.3">
      <c r="K368" s="80"/>
      <c r="N368" s="80"/>
      <c r="Z368" s="80"/>
      <c r="AA368" s="17"/>
      <c r="AJ368" s="80"/>
      <c r="AK368" s="17"/>
      <c r="AU368" s="80"/>
      <c r="AV368" s="17"/>
      <c r="BP368" s="57"/>
      <c r="BQ368" s="61"/>
      <c r="BR368" s="57"/>
      <c r="BS368" s="115" t="s">
        <v>161</v>
      </c>
      <c r="BT368" s="58"/>
      <c r="BU368" s="58"/>
      <c r="BV368" s="58"/>
      <c r="BW368" s="58"/>
      <c r="BX368" s="58"/>
      <c r="BY368" s="58"/>
      <c r="BZ368" s="58"/>
      <c r="CA368" s="58"/>
      <c r="CB368" s="61"/>
      <c r="CC368" s="57"/>
      <c r="CD368" s="115" t="s">
        <v>161</v>
      </c>
      <c r="CE368" s="84"/>
      <c r="CF368" s="58"/>
      <c r="CG368" s="58"/>
      <c r="CH368" s="58"/>
      <c r="CI368" s="58"/>
      <c r="CJ368" s="58"/>
      <c r="CK368" s="58"/>
      <c r="CL368" s="58"/>
      <c r="CM368" s="61"/>
      <c r="CN368" s="57"/>
      <c r="CO368" s="115" t="s">
        <v>161</v>
      </c>
      <c r="CP368" s="84"/>
      <c r="CQ368" s="58"/>
      <c r="CR368" s="58"/>
      <c r="CS368" s="58"/>
      <c r="CT368" s="58"/>
      <c r="CU368" s="58"/>
      <c r="CV368" s="58"/>
      <c r="CW368" s="58"/>
      <c r="CX368" s="58"/>
      <c r="CY368" s="57"/>
      <c r="CZ368" s="115" t="s">
        <v>161</v>
      </c>
      <c r="DA368" s="84"/>
      <c r="DB368" s="58"/>
      <c r="DC368" s="58"/>
      <c r="DD368" s="58"/>
      <c r="DE368" s="58"/>
      <c r="DF368" s="58"/>
      <c r="DG368" s="58"/>
      <c r="DH368" s="58"/>
      <c r="DI368" s="61"/>
    </row>
    <row r="369" spans="10:113" ht="15.75" thickBot="1" x14ac:dyDescent="0.3">
      <c r="K369" s="516" t="s">
        <v>179</v>
      </c>
      <c r="L369" s="30">
        <v>11</v>
      </c>
      <c r="M369" s="110" t="str">
        <f>VLOOKUP(L369,Aux!$AL$72:$AM$83,2,FALSE)</f>
        <v>Noviembre</v>
      </c>
      <c r="N369" s="32"/>
      <c r="O369" s="32"/>
      <c r="P369" s="32"/>
      <c r="Q369" s="540"/>
      <c r="R369" s="32"/>
      <c r="S369" s="32"/>
      <c r="T369" s="32"/>
      <c r="U369" s="32"/>
      <c r="V369" s="32"/>
      <c r="W369" s="32"/>
      <c r="X369" s="33"/>
      <c r="Y369" s="32"/>
      <c r="Z369" s="32"/>
      <c r="AA369" s="33"/>
    </row>
    <row r="370" spans="10:113" ht="15.75" thickBot="1" x14ac:dyDescent="0.3">
      <c r="K370" s="42" t="s">
        <v>120</v>
      </c>
      <c r="L370" s="41" t="s">
        <v>121</v>
      </c>
      <c r="M370" s="515" t="s">
        <v>265</v>
      </c>
      <c r="N370" s="35" t="s">
        <v>146</v>
      </c>
      <c r="O370" s="35" t="s">
        <v>806</v>
      </c>
      <c r="P370" s="35" t="s">
        <v>167</v>
      </c>
      <c r="Q370" s="35" t="s">
        <v>807</v>
      </c>
      <c r="R370" s="35" t="s">
        <v>783</v>
      </c>
      <c r="S370" s="532" t="s">
        <v>170</v>
      </c>
      <c r="T370" s="40" t="s">
        <v>178</v>
      </c>
      <c r="U370" s="40" t="s">
        <v>169</v>
      </c>
      <c r="V370" s="40" t="s">
        <v>168</v>
      </c>
      <c r="W370" s="40" t="s">
        <v>175</v>
      </c>
      <c r="X370" s="41" t="s">
        <v>176</v>
      </c>
      <c r="Y370" s="40"/>
      <c r="Z370" s="40"/>
      <c r="AA370" s="41"/>
      <c r="AB370" s="80"/>
      <c r="AG370" s="80"/>
      <c r="AH370" s="17"/>
      <c r="AI370" s="17"/>
      <c r="AJ370" s="80"/>
      <c r="AK370" s="22"/>
      <c r="AM370" s="80"/>
      <c r="AN370" s="80"/>
      <c r="AO370" s="80"/>
      <c r="AP370" s="80"/>
      <c r="AQ370" s="80"/>
      <c r="AR370" s="80"/>
      <c r="AS370" s="17"/>
      <c r="AT370" s="17"/>
      <c r="AU370" s="80"/>
      <c r="AV370" s="22"/>
      <c r="AX370" s="80"/>
      <c r="AY370" s="80"/>
      <c r="AZ370" s="80"/>
      <c r="BA370" s="80"/>
      <c r="BB370" s="80"/>
      <c r="BC370" s="80"/>
      <c r="BD370" s="17"/>
      <c r="BP370" s="29" t="s">
        <v>179</v>
      </c>
      <c r="BQ370" s="30">
        <v>12</v>
      </c>
      <c r="BR370" s="110"/>
      <c r="BS370" s="34" t="s">
        <v>163</v>
      </c>
      <c r="BT370" s="31">
        <f ca="1">P_sat_i_VN_C1*VLOOKUP(1,φi[],2,FALSE)</f>
        <v>1519.0182434715223</v>
      </c>
      <c r="BU370" s="32"/>
      <c r="BV370" s="32"/>
      <c r="BW370" s="32"/>
      <c r="BX370" s="32"/>
      <c r="BY370" s="32"/>
      <c r="BZ370" s="32"/>
      <c r="CA370" s="34" t="s">
        <v>267</v>
      </c>
      <c r="CB370" s="30">
        <f>VLOOKUP(1,φi[],2,FALSE)</f>
        <v>0.65</v>
      </c>
      <c r="CC370" s="110"/>
      <c r="CD370" s="34" t="s">
        <v>164</v>
      </c>
      <c r="CE370" s="31">
        <f ca="1">P_sat_i_VN_C1*VLOOKUP(2,φi[],2,FALSE)</f>
        <v>1752.7133578517564</v>
      </c>
      <c r="CF370" s="34"/>
      <c r="CG370" s="34"/>
      <c r="CH370" s="32"/>
      <c r="CI370" s="32"/>
      <c r="CJ370" s="32"/>
      <c r="CK370" s="32"/>
      <c r="CL370" s="34" t="s">
        <v>268</v>
      </c>
      <c r="CM370" s="30">
        <f>VLOOKUP(2,φi[],2,FALSE)</f>
        <v>0.75</v>
      </c>
      <c r="CN370" s="110"/>
      <c r="CO370" s="34" t="s">
        <v>165</v>
      </c>
      <c r="CP370" s="31">
        <f ca="1">P_sat_i_VN_C1*VLOOKUP(3,φi[],2,FALSE)</f>
        <v>1869.5609150418736</v>
      </c>
      <c r="CQ370" s="32"/>
      <c r="CR370" s="34"/>
      <c r="CS370" s="34"/>
      <c r="CT370" s="34"/>
      <c r="CU370" s="34"/>
      <c r="CV370" s="34"/>
      <c r="CW370" s="34" t="s">
        <v>269</v>
      </c>
      <c r="CX370" s="116">
        <f>VLOOKUP(3,φi[],2,FALSE)</f>
        <v>0.8</v>
      </c>
      <c r="CY370" s="110"/>
      <c r="CZ370" s="34" t="s">
        <v>166</v>
      </c>
      <c r="DA370" s="31">
        <f ca="1">P_sat_i_VN_C1*Seccion1!φi_C1</f>
        <v>747.82436601674965</v>
      </c>
      <c r="DB370" s="32"/>
      <c r="DC370" s="34"/>
      <c r="DD370" s="34"/>
      <c r="DE370" s="34"/>
      <c r="DF370" s="34"/>
      <c r="DG370" s="34"/>
      <c r="DH370" s="34" t="s">
        <v>154</v>
      </c>
      <c r="DI370" s="30"/>
    </row>
    <row r="371" spans="10:113" x14ac:dyDescent="0.25">
      <c r="J371" s="517"/>
      <c r="K371" s="46">
        <v>5</v>
      </c>
      <c r="L371" s="47">
        <v>871.86452524041533</v>
      </c>
      <c r="M371" s="54"/>
      <c r="N371" s="44" t="s">
        <v>107</v>
      </c>
      <c r="O371" s="44" t="e">
        <v>#N/A</v>
      </c>
      <c r="P371" s="15" t="e">
        <v>#N/A</v>
      </c>
      <c r="Q371" s="541"/>
      <c r="R371" s="44"/>
      <c r="S371" s="533"/>
      <c r="T371" s="44"/>
      <c r="U371" s="44"/>
      <c r="V371" s="44"/>
      <c r="W371" s="44"/>
      <c r="X371" s="531"/>
      <c r="Y371" s="44"/>
      <c r="Z371" s="44"/>
      <c r="AA371" s="531"/>
      <c r="AB371" s="35"/>
      <c r="AC371" s="35"/>
      <c r="AD371" s="35"/>
      <c r="AE371" s="35"/>
      <c r="AF371" s="35"/>
      <c r="AG371" s="35"/>
      <c r="AH371" s="35"/>
      <c r="AI371" s="511"/>
      <c r="AJ371" s="35"/>
      <c r="AK371" s="35"/>
      <c r="AL371" s="35"/>
      <c r="AM371" s="35"/>
      <c r="AN371" s="35"/>
      <c r="AO371" s="35"/>
      <c r="AP371" s="35"/>
      <c r="AQ371" s="35"/>
      <c r="AR371" s="35"/>
      <c r="AS371" s="35"/>
      <c r="AT371" s="511"/>
      <c r="AU371" s="35"/>
      <c r="AV371" s="35"/>
      <c r="AW371" s="35"/>
      <c r="AX371" s="35"/>
      <c r="AY371" s="35"/>
      <c r="AZ371" s="35"/>
      <c r="BA371" s="35"/>
      <c r="BB371" s="35"/>
      <c r="BC371" s="35"/>
      <c r="BD371" s="35"/>
      <c r="BP371" s="42" t="s">
        <v>120</v>
      </c>
      <c r="BQ371" s="41" t="s">
        <v>121</v>
      </c>
      <c r="BR371" s="42" t="s">
        <v>265</v>
      </c>
      <c r="BS371" s="40" t="s">
        <v>146</v>
      </c>
      <c r="BT371" s="40" t="s">
        <v>147</v>
      </c>
      <c r="BU371" s="40" t="s">
        <v>170</v>
      </c>
      <c r="BV371" s="40" t="s">
        <v>178</v>
      </c>
      <c r="BW371" s="40" t="s">
        <v>169</v>
      </c>
      <c r="BX371" s="40" t="s">
        <v>168</v>
      </c>
      <c r="BY371" s="40" t="s">
        <v>175</v>
      </c>
      <c r="BZ371" s="40" t="s">
        <v>176</v>
      </c>
      <c r="CA371" s="40" t="s">
        <v>167</v>
      </c>
      <c r="CB371" s="41" t="s">
        <v>266</v>
      </c>
      <c r="CC371" s="42" t="s">
        <v>265</v>
      </c>
      <c r="CD371" s="40" t="s">
        <v>148</v>
      </c>
      <c r="CE371" s="40" t="s">
        <v>149</v>
      </c>
      <c r="CF371" s="40" t="s">
        <v>170</v>
      </c>
      <c r="CG371" s="40" t="s">
        <v>178</v>
      </c>
      <c r="CH371" s="40" t="s">
        <v>169</v>
      </c>
      <c r="CI371" s="40" t="s">
        <v>168</v>
      </c>
      <c r="CJ371" s="40" t="s">
        <v>175</v>
      </c>
      <c r="CK371" s="40" t="s">
        <v>176</v>
      </c>
      <c r="CL371" s="40" t="s">
        <v>171</v>
      </c>
      <c r="CM371" s="41" t="s">
        <v>266</v>
      </c>
      <c r="CN371" s="42" t="s">
        <v>265</v>
      </c>
      <c r="CO371" s="40" t="s">
        <v>150</v>
      </c>
      <c r="CP371" s="40" t="s">
        <v>151</v>
      </c>
      <c r="CQ371" s="40" t="s">
        <v>170</v>
      </c>
      <c r="CR371" s="40" t="s">
        <v>178</v>
      </c>
      <c r="CS371" s="40" t="s">
        <v>169</v>
      </c>
      <c r="CT371" s="40" t="s">
        <v>168</v>
      </c>
      <c r="CU371" s="40" t="s">
        <v>175</v>
      </c>
      <c r="CV371" s="40" t="s">
        <v>176</v>
      </c>
      <c r="CW371" s="40" t="s">
        <v>172</v>
      </c>
      <c r="CX371" s="41" t="s">
        <v>266</v>
      </c>
      <c r="CY371" s="42" t="s">
        <v>265</v>
      </c>
      <c r="CZ371" s="40" t="s">
        <v>152</v>
      </c>
      <c r="DA371" s="40" t="s">
        <v>153</v>
      </c>
      <c r="DB371" s="40" t="s">
        <v>170</v>
      </c>
      <c r="DC371" s="40" t="s">
        <v>178</v>
      </c>
      <c r="DD371" s="40" t="s">
        <v>169</v>
      </c>
      <c r="DE371" s="40" t="s">
        <v>168</v>
      </c>
      <c r="DF371" s="40" t="s">
        <v>175</v>
      </c>
      <c r="DG371" s="40" t="s">
        <v>176</v>
      </c>
      <c r="DH371" s="40" t="s">
        <v>177</v>
      </c>
      <c r="DI371" s="41" t="s">
        <v>266</v>
      </c>
    </row>
    <row r="372" spans="10:113" x14ac:dyDescent="0.25">
      <c r="J372" s="517"/>
      <c r="K372" s="53">
        <v>5.0867678958785252</v>
      </c>
      <c r="L372" s="47">
        <v>877.15903813241903</v>
      </c>
      <c r="M372" s="54">
        <v>3.1748790554449147</v>
      </c>
      <c r="N372" s="50">
        <v>767.24078221156549</v>
      </c>
      <c r="O372" s="55">
        <v>0</v>
      </c>
      <c r="P372" s="50">
        <f ca="1">IF(ISNA(T372),
_xlfn.FORECAST.LINEAR($J60,INDIRECT(W372),INDIRECT(X372)),T372)</f>
        <v>767.24078221156549</v>
      </c>
      <c r="Q372" s="514"/>
      <c r="R372" s="50"/>
      <c r="S372" s="535" cm="1">
        <f t="array" ref="S372">SUM(IF(ISNUMBER(T$372:T372),1,0))+IF($J372&gt;Capas_VN_C1,1,0)</f>
        <v>1</v>
      </c>
      <c r="T372" s="50">
        <f>IF(O372=1,$L372,L389)</f>
        <v>767.24078221156549</v>
      </c>
      <c r="U372" s="50">
        <f>VLOOKUP($J373,$S$372:$T$384,2,FALSE)</f>
        <v>767.24078221156549</v>
      </c>
      <c r="V372" s="50">
        <f>INDEX($J$60:$J$72,MATCH(U372,T$372:T$384,0))</f>
        <v>0</v>
      </c>
      <c r="W372" s="50" t="str">
        <f>CONCATENATE(ADDRESS(ROW(U$372)-1+S372,COLUMN(U$372)),":",ADDRESS(ROW(U$372)+S372,COLUMN(U$372)))</f>
        <v>$U$372:$U$373</v>
      </c>
      <c r="X372" s="214" t="str">
        <f>CONCATENATE(ADDRESS(ROW(V$372)-1+S372,COLUMN(V$372)),":",ADDRESS(ROW(V$372)+S372,COLUMN(V$372)))</f>
        <v>$V$372:$V$373</v>
      </c>
      <c r="Y372" s="50"/>
      <c r="Z372" s="50"/>
      <c r="AA372" s="214"/>
      <c r="AC372" s="48"/>
      <c r="AD372" s="48"/>
      <c r="AE372" s="48"/>
      <c r="AF372" s="48"/>
      <c r="AI372" s="51"/>
      <c r="AJ372" s="44"/>
      <c r="AK372" s="44"/>
      <c r="AN372" s="48"/>
      <c r="AO372" s="48"/>
      <c r="AP372" s="48"/>
      <c r="AQ372" s="48"/>
      <c r="AT372" s="51"/>
      <c r="AU372" s="44"/>
      <c r="AV372" s="44"/>
      <c r="AY372" s="48"/>
      <c r="AZ372" s="48"/>
      <c r="BA372" s="48"/>
      <c r="BB372" s="48"/>
      <c r="BP372" s="46"/>
      <c r="BQ372" s="52"/>
      <c r="BR372" s="54"/>
      <c r="BS372" s="44"/>
      <c r="BT372" s="44"/>
      <c r="BW372" s="48"/>
      <c r="BX372" s="48"/>
      <c r="BY372" s="48"/>
      <c r="BZ372" s="48"/>
      <c r="CB372" s="49"/>
      <c r="CC372" s="54"/>
      <c r="CD372" s="44"/>
      <c r="CE372" s="44"/>
      <c r="CH372" s="48"/>
      <c r="CI372" s="48"/>
      <c r="CJ372" s="48"/>
      <c r="CK372" s="48"/>
      <c r="CM372" s="49"/>
      <c r="CN372" s="54"/>
      <c r="CO372" s="44"/>
      <c r="CP372" s="44"/>
      <c r="CS372" s="48"/>
      <c r="CT372" s="48"/>
      <c r="CU372" s="48"/>
      <c r="CV372" s="48"/>
      <c r="CY372" s="54"/>
      <c r="CZ372" s="44"/>
      <c r="DA372" s="44"/>
      <c r="DD372" s="48"/>
      <c r="DE372" s="48"/>
      <c r="DF372" s="48"/>
      <c r="DG372" s="48"/>
      <c r="DI372" s="49"/>
    </row>
    <row r="373" spans="10:113" x14ac:dyDescent="0.25">
      <c r="J373" s="15">
        <v>1</v>
      </c>
      <c r="K373" s="53">
        <v>5.1952277657266812</v>
      </c>
      <c r="L373" s="47">
        <v>883.81703048135057</v>
      </c>
      <c r="M373" s="54">
        <v>9.6477355703057146</v>
      </c>
      <c r="N373" s="50">
        <v>1196.8195856845666</v>
      </c>
      <c r="O373" s="55">
        <f t="array" aca="1" ref="O373:O384" ca="1">IF((N373:N384&gt;=L373:L384)+(R347:R358&gt;0),1,0)</f>
        <v>1</v>
      </c>
      <c r="P373" s="50">
        <f t="shared" ref="P373:P384" ca="1" si="279">IF(ISNA(T373),
_xlfn.FORECAST.LINEAR($J61,INDIRECT(W373),INDIRECT(X373)),T373)</f>
        <v>883.81703048135057</v>
      </c>
      <c r="Q373" s="534">
        <f ca="1">IF(O373=1,δ_0*(SLOPE(INDIRECT(VLOOKUP(S373,$S$372:$X$384,5,FALSE)),INDIRECT(VLOOKUP(S373,$S$372:$X$384,6,FALSE)))-SLOPE(INDIRECT(VLOOKUP(S373-1,$S$372:$X$384,5,FALSE)),INDIRECT(VLOOKUP(S373-1,$S$372:$X$384,6,FALSE)))),0)*86400*VLOOKUP($L$317,Aux!$AL$72:$AN$83,3,FALSE)</f>
        <v>1.899682434484444E-4</v>
      </c>
      <c r="R373" s="534">
        <f ca="1">IFERROR(IF(Q373+R347&lt;0,0,Q373+R347),0)</f>
        <v>1.0108862574682118E-3</v>
      </c>
      <c r="S373" s="535" cm="1">
        <f t="array" aca="1" ref="S373" ca="1">SUM(IF(ISNUMBER(T$372:T373),1,0))+IF($J373&gt;Capas_VN_C1,1,0)</f>
        <v>2</v>
      </c>
      <c r="T373" s="50">
        <f t="shared" ref="T373:T384" ca="1" si="280">IF(O373=1,$L373,IF(J373=Capas_VN_C1,$N$389,NA()))</f>
        <v>883.81703048135057</v>
      </c>
      <c r="U373" s="50">
        <f t="shared" ref="U373:U384" ca="1" si="281">VLOOKUP($J374,$S$372:$T$384,2,FALSE)</f>
        <v>883.81703048135057</v>
      </c>
      <c r="V373" s="50">
        <f t="shared" ref="V373:V384" ca="1" si="282">INDEX($J$60:$J$72,MATCH(U373,T$372:T$384,0))</f>
        <v>5000</v>
      </c>
      <c r="W373" s="50" t="str">
        <f t="shared" ref="W373:W384" ca="1" si="283">CONCATENATE(ADDRESS(ROW(U$372)-1+S373,COLUMN(U$372)),":",ADDRESS(ROW(U$372)+S373,COLUMN(U$372)))</f>
        <v>$U$373:$U$374</v>
      </c>
      <c r="X373" s="214" t="str">
        <f t="shared" ref="X373:X384" ca="1" si="284">CONCATENATE(ADDRESS(ROW(V$372)-1+S373,COLUMN(V$372)),":",ADDRESS(ROW(V$372)+S373,COLUMN(V$372)))</f>
        <v>$V$373:$V$374</v>
      </c>
      <c r="Y373" s="50"/>
      <c r="Z373" s="50"/>
      <c r="AA373" s="214"/>
      <c r="AB373" s="51"/>
      <c r="AC373" s="51"/>
      <c r="AD373" s="51"/>
      <c r="AE373" s="48"/>
      <c r="AF373" s="48"/>
      <c r="AG373" s="50"/>
      <c r="AH373" s="50"/>
      <c r="AI373" s="51"/>
      <c r="AJ373" s="50"/>
      <c r="AK373" s="55"/>
      <c r="AL373" s="55"/>
      <c r="AM373" s="51"/>
      <c r="AN373" s="51"/>
      <c r="AO373" s="51"/>
      <c r="AP373" s="48"/>
      <c r="AQ373" s="48"/>
      <c r="AR373" s="50"/>
      <c r="AS373" s="50"/>
      <c r="AT373" s="51"/>
      <c r="AU373" s="50"/>
      <c r="AV373" s="55"/>
      <c r="AW373" s="55"/>
      <c r="AX373" s="50"/>
      <c r="AY373" s="51"/>
      <c r="AZ373" s="51"/>
      <c r="BA373" s="48"/>
      <c r="BB373" s="48"/>
      <c r="BC373" s="50"/>
      <c r="BD373" s="50"/>
      <c r="BP373" s="53"/>
      <c r="BQ373" s="52"/>
      <c r="BR373" s="54"/>
      <c r="BS373" s="50"/>
      <c r="BT373" s="55"/>
      <c r="BU373" s="55"/>
      <c r="BV373" s="51"/>
      <c r="BW373" s="51"/>
      <c r="BX373" s="51"/>
      <c r="BY373" s="48"/>
      <c r="BZ373" s="48"/>
      <c r="CA373" s="50"/>
      <c r="CB373" s="52"/>
      <c r="CC373" s="54"/>
      <c r="CD373" s="50"/>
      <c r="CE373" s="55"/>
      <c r="CF373" s="55"/>
      <c r="CG373" s="51"/>
      <c r="CH373" s="51"/>
      <c r="CI373" s="51"/>
      <c r="CJ373" s="48"/>
      <c r="CK373" s="48"/>
      <c r="CL373" s="50"/>
      <c r="CM373" s="52"/>
      <c r="CN373" s="54"/>
      <c r="CO373" s="50"/>
      <c r="CP373" s="55"/>
      <c r="CQ373" s="55"/>
      <c r="CR373" s="51"/>
      <c r="CS373" s="51"/>
      <c r="CT373" s="51"/>
      <c r="CU373" s="48"/>
      <c r="CV373" s="48"/>
      <c r="CW373" s="50"/>
      <c r="CX373" s="50"/>
      <c r="CY373" s="54"/>
      <c r="CZ373" s="50"/>
      <c r="DA373" s="55"/>
      <c r="DB373" s="55"/>
      <c r="DC373" s="50"/>
      <c r="DD373" s="51"/>
      <c r="DE373" s="51"/>
      <c r="DF373" s="48"/>
      <c r="DG373" s="48"/>
      <c r="DH373" s="50"/>
      <c r="DI373" s="52"/>
    </row>
    <row r="374" spans="10:113" x14ac:dyDescent="0.25">
      <c r="J374" s="15">
        <v>2</v>
      </c>
      <c r="K374" s="53">
        <v>11.70281995661605</v>
      </c>
      <c r="L374" s="47">
        <v>1374.574647833676</v>
      </c>
      <c r="M374" s="54">
        <v>9.6637664267474968</v>
      </c>
      <c r="N374" s="50">
        <v>1198.1083220949856</v>
      </c>
      <c r="O374" s="55">
        <f ca="1"/>
        <v>0</v>
      </c>
      <c r="P374" s="50">
        <f t="shared" ca="1" si="279"/>
        <v>889.66352552964554</v>
      </c>
      <c r="Q374" s="534">
        <f ca="1">IF(O374=1,δ_0*(SLOPE(INDIRECT(VLOOKUP(S374,$S$372:$X$384,5,FALSE)),INDIRECT(VLOOKUP(S374,$S$372:$X$384,6,FALSE)))-SLOPE(INDIRECT(VLOOKUP(S374-1,$S$372:$X$384,5,FALSE)),INDIRECT(VLOOKUP(S374-1,$S$372:$X$384,6,FALSE)))),0)*86400*VLOOKUP($L$317,Aux!$AL$72:$AN$83,3,FALSE)</f>
        <v>0</v>
      </c>
      <c r="R374" s="534">
        <f t="shared" ref="R374:R384" ca="1" si="285">IFERROR(IF(Q374+R348&lt;0,0,Q374+R348),0)</f>
        <v>0</v>
      </c>
      <c r="S374" s="535" cm="1">
        <f t="array" aca="1" ref="S374" ca="1">SUM(IF(ISNUMBER(T$372:T374),1,0))+IF($J374&gt;Capas_VN_C1,1,0)</f>
        <v>2</v>
      </c>
      <c r="T374" s="50" t="e">
        <f t="shared" ca="1" si="280"/>
        <v>#N/A</v>
      </c>
      <c r="U374" s="50">
        <f t="shared" ca="1" si="281"/>
        <v>1285.3231290912881</v>
      </c>
      <c r="V374" s="50">
        <f t="shared" ca="1" si="282"/>
        <v>6030.12</v>
      </c>
      <c r="W374" s="50" t="str">
        <f t="shared" ca="1" si="283"/>
        <v>$U$373:$U$374</v>
      </c>
      <c r="X374" s="214" t="str">
        <f t="shared" ca="1" si="284"/>
        <v>$V$373:$V$374</v>
      </c>
      <c r="Y374" s="50"/>
      <c r="Z374" s="50"/>
      <c r="AA374" s="214"/>
      <c r="AB374" s="51"/>
      <c r="AC374" s="51"/>
      <c r="AD374" s="51"/>
      <c r="AE374" s="48"/>
      <c r="AF374" s="48"/>
      <c r="AG374" s="50"/>
      <c r="AH374" s="50"/>
      <c r="AI374" s="51"/>
      <c r="AJ374" s="50"/>
      <c r="AK374" s="55"/>
      <c r="AL374" s="55"/>
      <c r="AM374" s="51"/>
      <c r="AN374" s="51"/>
      <c r="AO374" s="51"/>
      <c r="AP374" s="48"/>
      <c r="AQ374" s="48"/>
      <c r="AR374" s="50"/>
      <c r="AS374" s="50"/>
      <c r="AT374" s="51"/>
      <c r="AU374" s="50"/>
      <c r="AV374" s="55"/>
      <c r="AW374" s="55"/>
      <c r="AX374" s="50"/>
      <c r="AY374" s="51"/>
      <c r="AZ374" s="51"/>
      <c r="BA374" s="48"/>
      <c r="BB374" s="48"/>
      <c r="BC374" s="50"/>
      <c r="BD374" s="50"/>
      <c r="BP374" s="53"/>
      <c r="BQ374" s="52"/>
      <c r="BR374" s="54"/>
      <c r="BS374" s="50"/>
      <c r="BT374" s="55"/>
      <c r="BU374" s="55"/>
      <c r="BV374" s="51"/>
      <c r="BW374" s="51"/>
      <c r="BX374" s="51"/>
      <c r="BY374" s="48"/>
      <c r="BZ374" s="48"/>
      <c r="CA374" s="50"/>
      <c r="CB374" s="52"/>
      <c r="CC374" s="54"/>
      <c r="CD374" s="50"/>
      <c r="CE374" s="55"/>
      <c r="CF374" s="55"/>
      <c r="CG374" s="51"/>
      <c r="CH374" s="51"/>
      <c r="CI374" s="51"/>
      <c r="CJ374" s="48"/>
      <c r="CK374" s="48"/>
      <c r="CL374" s="50"/>
      <c r="CM374" s="52"/>
      <c r="CN374" s="54"/>
      <c r="CO374" s="50"/>
      <c r="CP374" s="55"/>
      <c r="CQ374" s="55"/>
      <c r="CR374" s="51"/>
      <c r="CS374" s="51"/>
      <c r="CT374" s="51"/>
      <c r="CU374" s="48"/>
      <c r="CV374" s="48"/>
      <c r="CW374" s="50"/>
      <c r="CX374" s="50"/>
      <c r="CY374" s="54"/>
      <c r="CZ374" s="50"/>
      <c r="DA374" s="55"/>
      <c r="DB374" s="55"/>
      <c r="DC374" s="50"/>
      <c r="DD374" s="51"/>
      <c r="DE374" s="51"/>
      <c r="DF374" s="48"/>
      <c r="DG374" s="48"/>
      <c r="DH374" s="50"/>
      <c r="DI374" s="52"/>
    </row>
    <row r="375" spans="10:113" x14ac:dyDescent="0.25">
      <c r="J375" s="15">
        <v>3</v>
      </c>
      <c r="K375" s="53">
        <v>11.70281995661605</v>
      </c>
      <c r="L375" s="47">
        <v>1374.574647833676</v>
      </c>
      <c r="M375" s="54">
        <v>10.699281518103721</v>
      </c>
      <c r="N375" s="50">
        <v>1284.0240827895859</v>
      </c>
      <c r="O375" s="55">
        <f ca="1"/>
        <v>0</v>
      </c>
      <c r="P375" s="50">
        <f t="shared" ca="1" si="279"/>
        <v>1279.4298620826078</v>
      </c>
      <c r="Q375" s="534">
        <f ca="1">IF(O375=1,δ_0*(SLOPE(INDIRECT(VLOOKUP(S375,$S$372:$X$384,5,FALSE)),INDIRECT(VLOOKUP(S375,$S$372:$X$384,6,FALSE)))-SLOPE(INDIRECT(VLOOKUP(S375-1,$S$372:$X$384,5,FALSE)),INDIRECT(VLOOKUP(S375-1,$S$372:$X$384,6,FALSE)))),0)*86400*VLOOKUP($L$317,Aux!$AL$72:$AN$83,3,FALSE)</f>
        <v>0</v>
      </c>
      <c r="R375" s="534">
        <f t="shared" ca="1" si="285"/>
        <v>0</v>
      </c>
      <c r="S375" s="535" cm="1">
        <f t="array" aca="1" ref="S375" ca="1">SUM(IF(ISNUMBER(T$372:T375),1,0))+IF($J375&gt;Capas_VN_C1,1,0)</f>
        <v>2</v>
      </c>
      <c r="T375" s="50" t="e">
        <f t="shared" ca="1" si="280"/>
        <v>#N/A</v>
      </c>
      <c r="U375" s="50" t="e">
        <f t="shared" ca="1" si="281"/>
        <v>#N/A</v>
      </c>
      <c r="V375" s="50" t="e">
        <f t="shared" ca="1" si="282"/>
        <v>#N/A</v>
      </c>
      <c r="W375" s="50" t="str">
        <f t="shared" ca="1" si="283"/>
        <v>$U$373:$U$374</v>
      </c>
      <c r="X375" s="214" t="str">
        <f t="shared" ca="1" si="284"/>
        <v>$V$373:$V$374</v>
      </c>
      <c r="Y375" s="50"/>
      <c r="Z375" s="50"/>
      <c r="AA375" s="214"/>
      <c r="AB375" s="51"/>
      <c r="AC375" s="51"/>
      <c r="AD375" s="51"/>
      <c r="AE375" s="48"/>
      <c r="AF375" s="48"/>
      <c r="AG375" s="50"/>
      <c r="AH375" s="50"/>
      <c r="AI375" s="51"/>
      <c r="AJ375" s="50"/>
      <c r="AK375" s="55"/>
      <c r="AL375" s="55"/>
      <c r="AM375" s="51"/>
      <c r="AN375" s="51"/>
      <c r="AO375" s="51"/>
      <c r="AP375" s="48"/>
      <c r="AQ375" s="48"/>
      <c r="AR375" s="50"/>
      <c r="AS375" s="50"/>
      <c r="AT375" s="51"/>
      <c r="AU375" s="50"/>
      <c r="AV375" s="55"/>
      <c r="AW375" s="55"/>
      <c r="AX375" s="50"/>
      <c r="AY375" s="51"/>
      <c r="AZ375" s="51"/>
      <c r="BA375" s="48"/>
      <c r="BB375" s="48"/>
      <c r="BC375" s="50"/>
      <c r="BD375" s="50"/>
      <c r="BP375" s="53"/>
      <c r="BQ375" s="52"/>
      <c r="BR375" s="54"/>
      <c r="BS375" s="50"/>
      <c r="BT375" s="55"/>
      <c r="BU375" s="55"/>
      <c r="BV375" s="51"/>
      <c r="BW375" s="51"/>
      <c r="BX375" s="51"/>
      <c r="BY375" s="48"/>
      <c r="BZ375" s="48"/>
      <c r="CA375" s="50"/>
      <c r="CB375" s="52"/>
      <c r="CC375" s="54"/>
      <c r="CD375" s="50"/>
      <c r="CE375" s="55"/>
      <c r="CF375" s="55"/>
      <c r="CG375" s="51"/>
      <c r="CH375" s="51"/>
      <c r="CI375" s="51"/>
      <c r="CJ375" s="48"/>
      <c r="CK375" s="48"/>
      <c r="CL375" s="50"/>
      <c r="CM375" s="52"/>
      <c r="CN375" s="54"/>
      <c r="CO375" s="50"/>
      <c r="CP375" s="55"/>
      <c r="CQ375" s="55"/>
      <c r="CR375" s="51"/>
      <c r="CS375" s="51"/>
      <c r="CT375" s="51"/>
      <c r="CU375" s="48"/>
      <c r="CV375" s="48"/>
      <c r="CW375" s="50"/>
      <c r="CX375" s="50"/>
      <c r="CY375" s="54"/>
      <c r="CZ375" s="50"/>
      <c r="DA375" s="55"/>
      <c r="DB375" s="55"/>
      <c r="DC375" s="50"/>
      <c r="DD375" s="51"/>
      <c r="DE375" s="51"/>
      <c r="DF375" s="48"/>
      <c r="DG375" s="48"/>
      <c r="DH375" s="50"/>
      <c r="DI375" s="52"/>
    </row>
    <row r="376" spans="10:113" x14ac:dyDescent="0.25">
      <c r="J376" s="15">
        <v>4</v>
      </c>
      <c r="K376" s="53">
        <v>19.620390455531457</v>
      </c>
      <c r="L376" s="47">
        <v>2282.5994128977159</v>
      </c>
      <c r="M376" s="54">
        <v>10.71433836227984</v>
      </c>
      <c r="N376" s="50">
        <v>1285.3128192000049</v>
      </c>
      <c r="O376" s="55">
        <f ca="1"/>
        <v>0</v>
      </c>
      <c r="P376" s="50">
        <f t="shared" ca="1" si="279"/>
        <v>1285.2763571309022</v>
      </c>
      <c r="Q376" s="534">
        <f ca="1">IF(O376=1,δ_0*(SLOPE(INDIRECT(VLOOKUP(S376,$S$372:$X$384,5,FALSE)),INDIRECT(VLOOKUP(S376,$S$372:$X$384,6,FALSE)))-SLOPE(INDIRECT(VLOOKUP(S376-1,$S$372:$X$384,5,FALSE)),INDIRECT(VLOOKUP(S376-1,$S$372:$X$384,6,FALSE)))),0)*86400*VLOOKUP($L$317,Aux!$AL$72:$AN$83,3,FALSE)</f>
        <v>0</v>
      </c>
      <c r="R376" s="534">
        <f t="shared" ca="1" si="285"/>
        <v>0</v>
      </c>
      <c r="S376" s="535" cm="1">
        <f t="array" aca="1" ref="S376" ca="1">SUM(IF(ISNUMBER(T$372:T376),1,0))+IF($J376&gt;Capas_VN_C1,1,0)</f>
        <v>2</v>
      </c>
      <c r="T376" s="50" t="e">
        <f t="shared" ca="1" si="280"/>
        <v>#N/A</v>
      </c>
      <c r="U376" s="50" t="e">
        <f t="shared" ca="1" si="281"/>
        <v>#N/A</v>
      </c>
      <c r="V376" s="50" t="e">
        <f t="shared" ca="1" si="282"/>
        <v>#N/A</v>
      </c>
      <c r="W376" s="50" t="str">
        <f t="shared" ca="1" si="283"/>
        <v>$U$373:$U$374</v>
      </c>
      <c r="X376" s="214" t="str">
        <f t="shared" ca="1" si="284"/>
        <v>$V$373:$V$374</v>
      </c>
      <c r="Y376" s="50"/>
      <c r="Z376" s="50"/>
      <c r="AA376" s="214"/>
      <c r="AB376" s="51"/>
      <c r="AC376" s="51"/>
      <c r="AD376" s="51"/>
      <c r="AE376" s="48"/>
      <c r="AF376" s="48"/>
      <c r="AG376" s="50"/>
      <c r="AH376" s="50"/>
      <c r="AI376" s="51"/>
      <c r="AJ376" s="50"/>
      <c r="AK376" s="55"/>
      <c r="AL376" s="55"/>
      <c r="AM376" s="51"/>
      <c r="AN376" s="51"/>
      <c r="AO376" s="51"/>
      <c r="AP376" s="48"/>
      <c r="AQ376" s="48"/>
      <c r="AR376" s="50"/>
      <c r="AS376" s="50"/>
      <c r="AT376" s="51"/>
      <c r="AU376" s="50"/>
      <c r="AV376" s="55"/>
      <c r="AW376" s="55"/>
      <c r="AX376" s="50"/>
      <c r="AY376" s="51"/>
      <c r="AZ376" s="51"/>
      <c r="BA376" s="48"/>
      <c r="BB376" s="48"/>
      <c r="BC376" s="50"/>
      <c r="BD376" s="50"/>
      <c r="BP376" s="53"/>
      <c r="BQ376" s="52"/>
      <c r="BR376" s="54"/>
      <c r="BS376" s="50"/>
      <c r="BT376" s="55"/>
      <c r="BU376" s="55"/>
      <c r="BV376" s="51"/>
      <c r="BW376" s="51"/>
      <c r="BX376" s="51"/>
      <c r="BY376" s="48"/>
      <c r="BZ376" s="48"/>
      <c r="CA376" s="50"/>
      <c r="CB376" s="52"/>
      <c r="CC376" s="54"/>
      <c r="CD376" s="50"/>
      <c r="CE376" s="55"/>
      <c r="CF376" s="55"/>
      <c r="CG376" s="51"/>
      <c r="CH376" s="51"/>
      <c r="CI376" s="51"/>
      <c r="CJ376" s="48"/>
      <c r="CK376" s="48"/>
      <c r="CL376" s="50"/>
      <c r="CM376" s="52"/>
      <c r="CN376" s="54"/>
      <c r="CO376" s="50"/>
      <c r="CP376" s="55"/>
      <c r="CQ376" s="55"/>
      <c r="CR376" s="51"/>
      <c r="CS376" s="51"/>
      <c r="CT376" s="51"/>
      <c r="CU376" s="48"/>
      <c r="CV376" s="48"/>
      <c r="CW376" s="50"/>
      <c r="CX376" s="50"/>
      <c r="CY376" s="54"/>
      <c r="CZ376" s="50"/>
      <c r="DA376" s="55"/>
      <c r="DB376" s="55"/>
      <c r="DC376" s="50"/>
      <c r="DD376" s="51"/>
      <c r="DE376" s="51"/>
      <c r="DF376" s="48"/>
      <c r="DG376" s="48"/>
      <c r="DH376" s="50"/>
      <c r="DI376" s="52"/>
    </row>
    <row r="377" spans="10:113" x14ac:dyDescent="0.25">
      <c r="J377" s="15">
        <v>5</v>
      </c>
      <c r="K377" s="53">
        <v>19.783080260303688</v>
      </c>
      <c r="L377" s="47">
        <v>2305.7561079064658</v>
      </c>
      <c r="M377" s="54">
        <v>10.714458762800982</v>
      </c>
      <c r="N377" s="50">
        <v>1285.3231290912881</v>
      </c>
      <c r="O377" s="55">
        <f ca="1"/>
        <v>0</v>
      </c>
      <c r="P377" s="50">
        <f t="shared" ca="1" si="279"/>
        <v>1285.3231290912881</v>
      </c>
      <c r="Q377" s="534">
        <f ca="1">IF(O377=1,δ_0*(SLOPE(INDIRECT(VLOOKUP(S377,$S$372:$X$384,5,FALSE)),INDIRECT(VLOOKUP(S377,$S$372:$X$384,6,FALSE)))-SLOPE(INDIRECT(VLOOKUP(S377-1,$S$372:$X$384,5,FALSE)),INDIRECT(VLOOKUP(S377-1,$S$372:$X$384,6,FALSE)))),0)*86400*VLOOKUP($L$317,Aux!$AL$72:$AN$83,3,FALSE)</f>
        <v>0</v>
      </c>
      <c r="R377" s="534">
        <f t="shared" ca="1" si="285"/>
        <v>0</v>
      </c>
      <c r="S377" s="535" cm="1">
        <f t="array" aca="1" ref="S377" ca="1">SUM(IF(ISNUMBER(T$372:T377),1,0))+IF($J377&gt;Capas_VN_C1,1,0)</f>
        <v>3</v>
      </c>
      <c r="T377" s="50">
        <f t="shared" ca="1" si="280"/>
        <v>1285.3231290912881</v>
      </c>
      <c r="U377" s="50" t="e">
        <f t="shared" ca="1" si="281"/>
        <v>#N/A</v>
      </c>
      <c r="V377" s="50" t="e">
        <f t="shared" ca="1" si="282"/>
        <v>#N/A</v>
      </c>
      <c r="W377" s="50" t="str">
        <f t="shared" ca="1" si="283"/>
        <v>$U$374:$U$375</v>
      </c>
      <c r="X377" s="214" t="str">
        <f t="shared" ca="1" si="284"/>
        <v>$V$374:$V$375</v>
      </c>
      <c r="Y377" s="50"/>
      <c r="Z377" s="50"/>
      <c r="AA377" s="214"/>
      <c r="AB377" s="51"/>
      <c r="AC377" s="51"/>
      <c r="AD377" s="51"/>
      <c r="AE377" s="48"/>
      <c r="AF377" s="48"/>
      <c r="AG377" s="50"/>
      <c r="AH377" s="50"/>
      <c r="AI377" s="51"/>
      <c r="AJ377" s="50"/>
      <c r="AK377" s="55"/>
      <c r="AL377" s="55"/>
      <c r="AM377" s="51"/>
      <c r="AN377" s="51"/>
      <c r="AO377" s="51"/>
      <c r="AP377" s="48"/>
      <c r="AQ377" s="48"/>
      <c r="AR377" s="50"/>
      <c r="AS377" s="50"/>
      <c r="AT377" s="51"/>
      <c r="AU377" s="50"/>
      <c r="AV377" s="55"/>
      <c r="AW377" s="55"/>
      <c r="AX377" s="50"/>
      <c r="AY377" s="51"/>
      <c r="AZ377" s="51"/>
      <c r="BA377" s="48"/>
      <c r="BB377" s="48"/>
      <c r="BC377" s="50"/>
      <c r="BD377" s="50"/>
      <c r="BP377" s="53"/>
      <c r="BQ377" s="52"/>
      <c r="BR377" s="54"/>
      <c r="BS377" s="50"/>
      <c r="BT377" s="55"/>
      <c r="BU377" s="55"/>
      <c r="BV377" s="51"/>
      <c r="BW377" s="51"/>
      <c r="BX377" s="51"/>
      <c r="BY377" s="48"/>
      <c r="BZ377" s="48"/>
      <c r="CA377" s="50"/>
      <c r="CB377" s="52"/>
      <c r="CC377" s="54"/>
      <c r="CD377" s="50"/>
      <c r="CE377" s="55"/>
      <c r="CF377" s="55"/>
      <c r="CG377" s="51"/>
      <c r="CH377" s="51"/>
      <c r="CI377" s="51"/>
      <c r="CJ377" s="48"/>
      <c r="CK377" s="48"/>
      <c r="CL377" s="50"/>
      <c r="CM377" s="52"/>
      <c r="CN377" s="54"/>
      <c r="CO377" s="50"/>
      <c r="CP377" s="55"/>
      <c r="CQ377" s="55"/>
      <c r="CR377" s="51"/>
      <c r="CS377" s="51"/>
      <c r="CT377" s="51"/>
      <c r="CU377" s="48"/>
      <c r="CV377" s="48"/>
      <c r="CW377" s="50"/>
      <c r="CX377" s="50"/>
      <c r="CY377" s="54"/>
      <c r="CZ377" s="50"/>
      <c r="DA377" s="55"/>
      <c r="DB377" s="55"/>
      <c r="DC377" s="50"/>
      <c r="DD377" s="51"/>
      <c r="DE377" s="51"/>
      <c r="DF377" s="48"/>
      <c r="DG377" s="48"/>
      <c r="DH377" s="50"/>
      <c r="DI377" s="52"/>
    </row>
    <row r="378" spans="10:113" x14ac:dyDescent="0.25">
      <c r="J378" s="15">
        <v>6</v>
      </c>
      <c r="K378" s="53">
        <v>20</v>
      </c>
      <c r="L378" s="47">
        <v>2336.9511438023419</v>
      </c>
      <c r="M378" s="54" t="e">
        <v>#N/A</v>
      </c>
      <c r="N378" s="50" t="e">
        <v>#N/A</v>
      </c>
      <c r="O378" s="55" t="e">
        <f ca="1"/>
        <v>#N/A</v>
      </c>
      <c r="P378" s="50" t="e">
        <f t="shared" ca="1" si="279"/>
        <v>#N/A</v>
      </c>
      <c r="Q378" s="534" t="e">
        <f ca="1">IF(O378=1,δ_0*(SLOPE(INDIRECT(VLOOKUP(S378,$S$372:$X$384,5,FALSE)),INDIRECT(VLOOKUP(S378,$S$372:$X$384,6,FALSE)))-SLOPE(INDIRECT(VLOOKUP(S378-1,$S$372:$X$384,5,FALSE)),INDIRECT(VLOOKUP(S378-1,$S$372:$X$384,6,FALSE)))),0)*86400*VLOOKUP($L$317,Aux!$AL$72:$AN$83,3,FALSE)</f>
        <v>#N/A</v>
      </c>
      <c r="R378" s="534">
        <f t="shared" ca="1" si="285"/>
        <v>0</v>
      </c>
      <c r="S378" s="535" cm="1">
        <f t="array" aca="1" ref="S378" ca="1">SUM(IF(ISNUMBER(T$372:T378),1,0))+IF($J378&gt;Capas_VN_C1,1,0)</f>
        <v>4</v>
      </c>
      <c r="T378" s="50" t="e">
        <f t="shared" ca="1" si="280"/>
        <v>#N/A</v>
      </c>
      <c r="U378" s="50" t="e">
        <f t="shared" ca="1" si="281"/>
        <v>#N/A</v>
      </c>
      <c r="V378" s="50" t="e">
        <f t="shared" ca="1" si="282"/>
        <v>#N/A</v>
      </c>
      <c r="W378" s="50" t="str">
        <f t="shared" ca="1" si="283"/>
        <v>$U$375:$U$376</v>
      </c>
      <c r="X378" s="214" t="str">
        <f t="shared" ca="1" si="284"/>
        <v>$V$375:$V$376</v>
      </c>
      <c r="Y378" s="50"/>
      <c r="Z378" s="50"/>
      <c r="AA378" s="214"/>
      <c r="AB378" s="51"/>
      <c r="AC378" s="51"/>
      <c r="AD378" s="51"/>
      <c r="AE378" s="48"/>
      <c r="AF378" s="48"/>
      <c r="AG378" s="50"/>
      <c r="AH378" s="50"/>
      <c r="AI378" s="51"/>
      <c r="AJ378" s="50"/>
      <c r="AK378" s="55"/>
      <c r="AL378" s="55"/>
      <c r="AM378" s="51"/>
      <c r="AN378" s="51"/>
      <c r="AO378" s="51"/>
      <c r="AP378" s="48"/>
      <c r="AQ378" s="48"/>
      <c r="AR378" s="50"/>
      <c r="AS378" s="50"/>
      <c r="AT378" s="51"/>
      <c r="AU378" s="50"/>
      <c r="AV378" s="55"/>
      <c r="AW378" s="55"/>
      <c r="AX378" s="50"/>
      <c r="AY378" s="51"/>
      <c r="AZ378" s="51"/>
      <c r="BA378" s="48"/>
      <c r="BB378" s="48"/>
      <c r="BC378" s="50"/>
      <c r="BD378" s="50"/>
      <c r="BP378" s="53"/>
      <c r="BQ378" s="52"/>
      <c r="BR378" s="54"/>
      <c r="BS378" s="50"/>
      <c r="BT378" s="55"/>
      <c r="BU378" s="55"/>
      <c r="BV378" s="51"/>
      <c r="BW378" s="51"/>
      <c r="BX378" s="51"/>
      <c r="BY378" s="48"/>
      <c r="BZ378" s="48"/>
      <c r="CA378" s="50"/>
      <c r="CB378" s="52"/>
      <c r="CC378" s="54"/>
      <c r="CD378" s="50"/>
      <c r="CE378" s="55"/>
      <c r="CF378" s="55"/>
      <c r="CG378" s="51"/>
      <c r="CH378" s="51"/>
      <c r="CI378" s="51"/>
      <c r="CJ378" s="48"/>
      <c r="CK378" s="48"/>
      <c r="CL378" s="50"/>
      <c r="CM378" s="52"/>
      <c r="CN378" s="54"/>
      <c r="CO378" s="50"/>
      <c r="CP378" s="55"/>
      <c r="CQ378" s="55"/>
      <c r="CR378" s="51"/>
      <c r="CS378" s="51"/>
      <c r="CT378" s="51"/>
      <c r="CU378" s="48"/>
      <c r="CV378" s="48"/>
      <c r="CW378" s="50"/>
      <c r="CX378" s="50"/>
      <c r="CY378" s="54"/>
      <c r="CZ378" s="50"/>
      <c r="DA378" s="55"/>
      <c r="DB378" s="55"/>
      <c r="DC378" s="50"/>
      <c r="DD378" s="51"/>
      <c r="DE378" s="51"/>
      <c r="DF378" s="48"/>
      <c r="DG378" s="48"/>
      <c r="DH378" s="50"/>
      <c r="DI378" s="52"/>
    </row>
    <row r="379" spans="10:113" x14ac:dyDescent="0.25">
      <c r="J379" s="15">
        <v>7</v>
      </c>
      <c r="K379" s="53" t="e">
        <v>#N/A</v>
      </c>
      <c r="L379" s="47" t="e">
        <v>#N/A</v>
      </c>
      <c r="M379" s="54" t="e">
        <v>#N/A</v>
      </c>
      <c r="N379" s="50" t="e">
        <v>#N/A</v>
      </c>
      <c r="O379" s="55" t="e">
        <f ca="1"/>
        <v>#N/A</v>
      </c>
      <c r="P379" s="50" t="e">
        <f t="shared" ca="1" si="279"/>
        <v>#N/A</v>
      </c>
      <c r="Q379" s="534" t="e">
        <f ca="1">IF(O379=1,δ_0*(SLOPE(INDIRECT(VLOOKUP(S379,$S$372:$X$384,5,FALSE)),INDIRECT(VLOOKUP(S379,$S$372:$X$384,6,FALSE)))-SLOPE(INDIRECT(VLOOKUP(S379-1,$S$372:$X$384,5,FALSE)),INDIRECT(VLOOKUP(S379-1,$S$372:$X$384,6,FALSE)))),0)*86400*VLOOKUP($L$317,Aux!$AL$72:$AN$83,3,FALSE)</f>
        <v>#N/A</v>
      </c>
      <c r="R379" s="534">
        <f t="shared" ca="1" si="285"/>
        <v>0</v>
      </c>
      <c r="S379" s="535" cm="1">
        <f t="array" aca="1" ref="S379" ca="1">SUM(IF(ISNUMBER(T$372:T379),1,0))+IF($J379&gt;Capas_VN_C1,1,0)</f>
        <v>4</v>
      </c>
      <c r="T379" s="50" t="e">
        <f t="shared" ca="1" si="280"/>
        <v>#N/A</v>
      </c>
      <c r="U379" s="50" t="e">
        <f t="shared" ca="1" si="281"/>
        <v>#N/A</v>
      </c>
      <c r="V379" s="50" t="e">
        <f t="shared" ca="1" si="282"/>
        <v>#N/A</v>
      </c>
      <c r="W379" s="50" t="str">
        <f t="shared" ca="1" si="283"/>
        <v>$U$375:$U$376</v>
      </c>
      <c r="X379" s="214" t="str">
        <f t="shared" ca="1" si="284"/>
        <v>$V$375:$V$376</v>
      </c>
      <c r="Y379" s="50"/>
      <c r="Z379" s="50"/>
      <c r="AA379" s="214"/>
      <c r="AB379" s="51"/>
      <c r="AC379" s="51"/>
      <c r="AD379" s="51"/>
      <c r="AE379" s="48"/>
      <c r="AF379" s="48"/>
      <c r="AG379" s="50"/>
      <c r="AH379" s="50"/>
      <c r="AI379" s="51"/>
      <c r="AJ379" s="50"/>
      <c r="AK379" s="55"/>
      <c r="AL379" s="55"/>
      <c r="AM379" s="51"/>
      <c r="AN379" s="51"/>
      <c r="AO379" s="51"/>
      <c r="AP379" s="48"/>
      <c r="AQ379" s="48"/>
      <c r="AR379" s="50"/>
      <c r="AS379" s="50"/>
      <c r="AT379" s="51"/>
      <c r="AU379" s="50"/>
      <c r="AV379" s="55"/>
      <c r="AW379" s="55"/>
      <c r="AX379" s="50"/>
      <c r="AY379" s="51"/>
      <c r="AZ379" s="51"/>
      <c r="BA379" s="48"/>
      <c r="BB379" s="48"/>
      <c r="BC379" s="50"/>
      <c r="BD379" s="50"/>
      <c r="BP379" s="53"/>
      <c r="BQ379" s="52"/>
      <c r="BR379" s="54"/>
      <c r="BS379" s="50"/>
      <c r="BT379" s="55"/>
      <c r="BU379" s="55"/>
      <c r="BV379" s="51"/>
      <c r="BW379" s="51"/>
      <c r="BX379" s="51"/>
      <c r="BY379" s="48"/>
      <c r="BZ379" s="48"/>
      <c r="CA379" s="50"/>
      <c r="CB379" s="52"/>
      <c r="CC379" s="54"/>
      <c r="CD379" s="50"/>
      <c r="CE379" s="55"/>
      <c r="CF379" s="55"/>
      <c r="CG379" s="51"/>
      <c r="CH379" s="51"/>
      <c r="CI379" s="51"/>
      <c r="CJ379" s="48"/>
      <c r="CK379" s="48"/>
      <c r="CL379" s="50"/>
      <c r="CM379" s="52"/>
      <c r="CN379" s="54"/>
      <c r="CO379" s="50"/>
      <c r="CP379" s="55"/>
      <c r="CQ379" s="55"/>
      <c r="CR379" s="51"/>
      <c r="CS379" s="51"/>
      <c r="CT379" s="51"/>
      <c r="CU379" s="48"/>
      <c r="CV379" s="48"/>
      <c r="CW379" s="50"/>
      <c r="CX379" s="50"/>
      <c r="CY379" s="54"/>
      <c r="CZ379" s="50"/>
      <c r="DA379" s="55"/>
      <c r="DB379" s="55"/>
      <c r="DC379" s="50"/>
      <c r="DD379" s="51"/>
      <c r="DE379" s="51"/>
      <c r="DF379" s="48"/>
      <c r="DG379" s="48"/>
      <c r="DH379" s="50"/>
      <c r="DI379" s="52"/>
    </row>
    <row r="380" spans="10:113" x14ac:dyDescent="0.25">
      <c r="J380" s="15">
        <v>8</v>
      </c>
      <c r="K380" s="53" t="e">
        <v>#N/A</v>
      </c>
      <c r="L380" s="47" t="e">
        <v>#N/A</v>
      </c>
      <c r="M380" s="54" t="e">
        <v>#N/A</v>
      </c>
      <c r="N380" s="50" t="e">
        <v>#N/A</v>
      </c>
      <c r="O380" s="55" t="e">
        <f ca="1"/>
        <v>#N/A</v>
      </c>
      <c r="P380" s="50" t="e">
        <f t="shared" ca="1" si="279"/>
        <v>#N/A</v>
      </c>
      <c r="Q380" s="534" t="e">
        <f ca="1">IF(O380=1,δ_0*(SLOPE(INDIRECT(VLOOKUP(S380,$S$372:$X$384,5,FALSE)),INDIRECT(VLOOKUP(S380,$S$372:$X$384,6,FALSE)))-SLOPE(INDIRECT(VLOOKUP(S380-1,$S$372:$X$384,5,FALSE)),INDIRECT(VLOOKUP(S380-1,$S$372:$X$384,6,FALSE)))),0)*86400*VLOOKUP($L$317,Aux!$AL$72:$AN$83,3,FALSE)</f>
        <v>#N/A</v>
      </c>
      <c r="R380" s="534">
        <f t="shared" ca="1" si="285"/>
        <v>0</v>
      </c>
      <c r="S380" s="535" cm="1">
        <f t="array" aca="1" ref="S380" ca="1">SUM(IF(ISNUMBER(T$372:T380),1,0))+IF($J380&gt;Capas_VN_C1,1,0)</f>
        <v>4</v>
      </c>
      <c r="T380" s="50" t="e">
        <f t="shared" ca="1" si="280"/>
        <v>#N/A</v>
      </c>
      <c r="U380" s="50" t="e">
        <f t="shared" ca="1" si="281"/>
        <v>#N/A</v>
      </c>
      <c r="V380" s="50" t="e">
        <f t="shared" ca="1" si="282"/>
        <v>#N/A</v>
      </c>
      <c r="W380" s="50" t="str">
        <f t="shared" ca="1" si="283"/>
        <v>$U$375:$U$376</v>
      </c>
      <c r="X380" s="214" t="str">
        <f t="shared" ca="1" si="284"/>
        <v>$V$375:$V$376</v>
      </c>
      <c r="Y380" s="50"/>
      <c r="Z380" s="50"/>
      <c r="AA380" s="214"/>
      <c r="AB380" s="51"/>
      <c r="AC380" s="51"/>
      <c r="AD380" s="51"/>
      <c r="AE380" s="48"/>
      <c r="AF380" s="48"/>
      <c r="AG380" s="50"/>
      <c r="AH380" s="50"/>
      <c r="AI380" s="51"/>
      <c r="AJ380" s="50"/>
      <c r="AK380" s="55"/>
      <c r="AL380" s="55"/>
      <c r="AM380" s="51"/>
      <c r="AN380" s="51"/>
      <c r="AO380" s="51"/>
      <c r="AP380" s="48"/>
      <c r="AQ380" s="48"/>
      <c r="AR380" s="50"/>
      <c r="AS380" s="50"/>
      <c r="AT380" s="51"/>
      <c r="AU380" s="50"/>
      <c r="AV380" s="55"/>
      <c r="AW380" s="55"/>
      <c r="AX380" s="50"/>
      <c r="AY380" s="51"/>
      <c r="AZ380" s="51"/>
      <c r="BA380" s="48"/>
      <c r="BB380" s="48"/>
      <c r="BC380" s="50"/>
      <c r="BD380" s="50"/>
      <c r="BP380" s="53"/>
      <c r="BQ380" s="52"/>
      <c r="BR380" s="54"/>
      <c r="BS380" s="50"/>
      <c r="BT380" s="55"/>
      <c r="BU380" s="55"/>
      <c r="BV380" s="51"/>
      <c r="BW380" s="51"/>
      <c r="BX380" s="51"/>
      <c r="BY380" s="48"/>
      <c r="BZ380" s="48"/>
      <c r="CA380" s="50"/>
      <c r="CB380" s="52"/>
      <c r="CC380" s="54"/>
      <c r="CD380" s="50"/>
      <c r="CE380" s="55"/>
      <c r="CF380" s="55"/>
      <c r="CG380" s="51"/>
      <c r="CH380" s="51"/>
      <c r="CI380" s="51"/>
      <c r="CJ380" s="48"/>
      <c r="CK380" s="48"/>
      <c r="CL380" s="50"/>
      <c r="CM380" s="52"/>
      <c r="CN380" s="54"/>
      <c r="CO380" s="50"/>
      <c r="CP380" s="55"/>
      <c r="CQ380" s="55"/>
      <c r="CR380" s="51"/>
      <c r="CS380" s="51"/>
      <c r="CT380" s="51"/>
      <c r="CU380" s="48"/>
      <c r="CV380" s="48"/>
      <c r="CW380" s="50"/>
      <c r="CX380" s="50"/>
      <c r="CY380" s="54"/>
      <c r="CZ380" s="50"/>
      <c r="DA380" s="55"/>
      <c r="DB380" s="55"/>
      <c r="DC380" s="50"/>
      <c r="DD380" s="51"/>
      <c r="DE380" s="51"/>
      <c r="DF380" s="48"/>
      <c r="DG380" s="48"/>
      <c r="DH380" s="50"/>
      <c r="DI380" s="52"/>
    </row>
    <row r="381" spans="10:113" x14ac:dyDescent="0.25">
      <c r="J381" s="15">
        <v>9</v>
      </c>
      <c r="K381" s="53" t="e">
        <v>#N/A</v>
      </c>
      <c r="L381" s="47" t="e">
        <v>#N/A</v>
      </c>
      <c r="M381" s="54" t="e">
        <v>#N/A</v>
      </c>
      <c r="N381" s="50" t="e">
        <v>#N/A</v>
      </c>
      <c r="O381" s="55" t="e">
        <f ca="1"/>
        <v>#N/A</v>
      </c>
      <c r="P381" s="50" t="e">
        <f t="shared" ca="1" si="279"/>
        <v>#N/A</v>
      </c>
      <c r="Q381" s="534" t="e">
        <f ca="1">IF(O381=1,δ_0*(SLOPE(INDIRECT(VLOOKUP(S381,$S$372:$X$384,5,FALSE)),INDIRECT(VLOOKUP(S381,$S$372:$X$384,6,FALSE)))-SLOPE(INDIRECT(VLOOKUP(S381-1,$S$372:$X$384,5,FALSE)),INDIRECT(VLOOKUP(S381-1,$S$372:$X$384,6,FALSE)))),0)*86400*VLOOKUP($L$317,Aux!$AL$72:$AN$83,3,FALSE)</f>
        <v>#N/A</v>
      </c>
      <c r="R381" s="534">
        <f t="shared" ca="1" si="285"/>
        <v>0</v>
      </c>
      <c r="S381" s="535" cm="1">
        <f t="array" aca="1" ref="S381" ca="1">SUM(IF(ISNUMBER(T$372:T381),1,0))+IF($J381&gt;Capas_VN_C1,1,0)</f>
        <v>4</v>
      </c>
      <c r="T381" s="50" t="e">
        <f t="shared" ca="1" si="280"/>
        <v>#N/A</v>
      </c>
      <c r="U381" s="50" t="e">
        <f t="shared" ca="1" si="281"/>
        <v>#N/A</v>
      </c>
      <c r="V381" s="50" t="e">
        <f t="shared" ca="1" si="282"/>
        <v>#N/A</v>
      </c>
      <c r="W381" s="50" t="str">
        <f t="shared" ca="1" si="283"/>
        <v>$U$375:$U$376</v>
      </c>
      <c r="X381" s="214" t="str">
        <f t="shared" ca="1" si="284"/>
        <v>$V$375:$V$376</v>
      </c>
      <c r="Y381" s="50"/>
      <c r="Z381" s="50"/>
      <c r="AA381" s="214"/>
      <c r="AB381" s="51"/>
      <c r="AC381" s="51"/>
      <c r="AD381" s="51"/>
      <c r="AE381" s="48"/>
      <c r="AF381" s="48"/>
      <c r="AG381" s="50"/>
      <c r="AH381" s="50"/>
      <c r="AI381" s="51"/>
      <c r="AJ381" s="50"/>
      <c r="AK381" s="55"/>
      <c r="AL381" s="55"/>
      <c r="AM381" s="51"/>
      <c r="AN381" s="51"/>
      <c r="AO381" s="51"/>
      <c r="AP381" s="48"/>
      <c r="AQ381" s="48"/>
      <c r="AR381" s="50"/>
      <c r="AS381" s="50"/>
      <c r="AT381" s="51"/>
      <c r="AU381" s="50"/>
      <c r="AV381" s="55"/>
      <c r="AW381" s="55"/>
      <c r="AX381" s="50"/>
      <c r="AY381" s="51"/>
      <c r="AZ381" s="51"/>
      <c r="BA381" s="48"/>
      <c r="BB381" s="48"/>
      <c r="BC381" s="50"/>
      <c r="BD381" s="50"/>
      <c r="BP381" s="53"/>
      <c r="BQ381" s="52"/>
      <c r="BR381" s="54"/>
      <c r="BS381" s="50"/>
      <c r="BT381" s="55"/>
      <c r="BU381" s="55"/>
      <c r="BV381" s="51"/>
      <c r="BW381" s="51"/>
      <c r="BX381" s="51"/>
      <c r="BY381" s="48"/>
      <c r="BZ381" s="48"/>
      <c r="CA381" s="50"/>
      <c r="CB381" s="52"/>
      <c r="CC381" s="54"/>
      <c r="CD381" s="50"/>
      <c r="CE381" s="55"/>
      <c r="CF381" s="55"/>
      <c r="CG381" s="51"/>
      <c r="CH381" s="51"/>
      <c r="CI381" s="51"/>
      <c r="CJ381" s="48"/>
      <c r="CK381" s="48"/>
      <c r="CL381" s="50"/>
      <c r="CM381" s="52"/>
      <c r="CN381" s="54"/>
      <c r="CO381" s="50"/>
      <c r="CP381" s="55"/>
      <c r="CQ381" s="55"/>
      <c r="CR381" s="51"/>
      <c r="CS381" s="51"/>
      <c r="CT381" s="51"/>
      <c r="CU381" s="48"/>
      <c r="CV381" s="48"/>
      <c r="CW381" s="50"/>
      <c r="CX381" s="50"/>
      <c r="CY381" s="54"/>
      <c r="CZ381" s="50"/>
      <c r="DA381" s="55"/>
      <c r="DB381" s="55"/>
      <c r="DC381" s="50"/>
      <c r="DD381" s="51"/>
      <c r="DE381" s="51"/>
      <c r="DF381" s="48"/>
      <c r="DG381" s="48"/>
      <c r="DH381" s="50"/>
      <c r="DI381" s="52"/>
    </row>
    <row r="382" spans="10:113" x14ac:dyDescent="0.25">
      <c r="J382" s="15">
        <v>10</v>
      </c>
      <c r="K382" s="53" t="e">
        <v>#N/A</v>
      </c>
      <c r="L382" s="47" t="e">
        <v>#N/A</v>
      </c>
      <c r="M382" s="54" t="e">
        <v>#N/A</v>
      </c>
      <c r="N382" s="50" t="e">
        <v>#N/A</v>
      </c>
      <c r="O382" s="55" t="e">
        <f ca="1"/>
        <v>#N/A</v>
      </c>
      <c r="P382" s="50" t="e">
        <f t="shared" ca="1" si="279"/>
        <v>#N/A</v>
      </c>
      <c r="Q382" s="534" t="e">
        <f ca="1">IF(O382=1,δ_0*(SLOPE(INDIRECT(VLOOKUP(S382,$S$372:$X$384,5,FALSE)),INDIRECT(VLOOKUP(S382,$S$372:$X$384,6,FALSE)))-SLOPE(INDIRECT(VLOOKUP(S382-1,$S$372:$X$384,5,FALSE)),INDIRECT(VLOOKUP(S382-1,$S$372:$X$384,6,FALSE)))),0)*86400*VLOOKUP($L$317,Aux!$AL$72:$AN$83,3,FALSE)</f>
        <v>#N/A</v>
      </c>
      <c r="R382" s="534">
        <f t="shared" ca="1" si="285"/>
        <v>0</v>
      </c>
      <c r="S382" s="535" cm="1">
        <f t="array" aca="1" ref="S382" ca="1">SUM(IF(ISNUMBER(T$372:T382),1,0))+IF($J382&gt;Capas_VN_C1,1,0)</f>
        <v>4</v>
      </c>
      <c r="T382" s="50" t="e">
        <f t="shared" ca="1" si="280"/>
        <v>#N/A</v>
      </c>
      <c r="U382" s="50" t="e">
        <f t="shared" ca="1" si="281"/>
        <v>#N/A</v>
      </c>
      <c r="V382" s="50" t="e">
        <f t="shared" ca="1" si="282"/>
        <v>#N/A</v>
      </c>
      <c r="W382" s="50" t="str">
        <f t="shared" ca="1" si="283"/>
        <v>$U$375:$U$376</v>
      </c>
      <c r="X382" s="214" t="str">
        <f t="shared" ca="1" si="284"/>
        <v>$V$375:$V$376</v>
      </c>
      <c r="Y382" s="50"/>
      <c r="Z382" s="50"/>
      <c r="AA382" s="214"/>
      <c r="AB382" s="51"/>
      <c r="AC382" s="51"/>
      <c r="AD382" s="51"/>
      <c r="AE382" s="48"/>
      <c r="AF382" s="48"/>
      <c r="AG382" s="50"/>
      <c r="AH382" s="50"/>
      <c r="AI382" s="51"/>
      <c r="AJ382" s="50"/>
      <c r="AK382" s="55"/>
      <c r="AL382" s="55"/>
      <c r="AM382" s="51"/>
      <c r="AN382" s="51"/>
      <c r="AO382" s="51"/>
      <c r="AP382" s="48"/>
      <c r="AQ382" s="48"/>
      <c r="AR382" s="50"/>
      <c r="AS382" s="50"/>
      <c r="AT382" s="51"/>
      <c r="AU382" s="50"/>
      <c r="AV382" s="55"/>
      <c r="AW382" s="55"/>
      <c r="AX382" s="50"/>
      <c r="AY382" s="51"/>
      <c r="AZ382" s="51"/>
      <c r="BA382" s="48"/>
      <c r="BB382" s="48"/>
      <c r="BC382" s="50"/>
      <c r="BD382" s="50"/>
      <c r="BP382" s="53"/>
      <c r="BQ382" s="52"/>
      <c r="BR382" s="54"/>
      <c r="BS382" s="50"/>
      <c r="BT382" s="55"/>
      <c r="BU382" s="55"/>
      <c r="BV382" s="51"/>
      <c r="BW382" s="51"/>
      <c r="BX382" s="51"/>
      <c r="BY382" s="48"/>
      <c r="BZ382" s="48"/>
      <c r="CA382" s="50"/>
      <c r="CB382" s="52"/>
      <c r="CC382" s="54"/>
      <c r="CD382" s="50"/>
      <c r="CE382" s="55"/>
      <c r="CF382" s="55"/>
      <c r="CG382" s="51"/>
      <c r="CH382" s="51"/>
      <c r="CI382" s="51"/>
      <c r="CJ382" s="48"/>
      <c r="CK382" s="48"/>
      <c r="CL382" s="50"/>
      <c r="CM382" s="52"/>
      <c r="CN382" s="54"/>
      <c r="CO382" s="50"/>
      <c r="CP382" s="55"/>
      <c r="CQ382" s="55"/>
      <c r="CR382" s="51"/>
      <c r="CS382" s="51"/>
      <c r="CT382" s="51"/>
      <c r="CU382" s="48"/>
      <c r="CV382" s="48"/>
      <c r="CW382" s="50"/>
      <c r="CX382" s="50"/>
      <c r="CY382" s="54"/>
      <c r="CZ382" s="50"/>
      <c r="DA382" s="55"/>
      <c r="DB382" s="55"/>
      <c r="DC382" s="50"/>
      <c r="DD382" s="51"/>
      <c r="DE382" s="51"/>
      <c r="DF382" s="48"/>
      <c r="DG382" s="48"/>
      <c r="DH382" s="50"/>
      <c r="DI382" s="52"/>
    </row>
    <row r="383" spans="10:113" x14ac:dyDescent="0.25">
      <c r="J383" s="15">
        <v>11</v>
      </c>
      <c r="K383" s="53" t="e">
        <v>#N/A</v>
      </c>
      <c r="L383" s="47" t="e">
        <v>#N/A</v>
      </c>
      <c r="M383" s="54" t="e">
        <v>#N/A</v>
      </c>
      <c r="N383" s="50" t="e">
        <v>#N/A</v>
      </c>
      <c r="O383" s="55" t="e">
        <f ca="1"/>
        <v>#N/A</v>
      </c>
      <c r="P383" s="50" t="e">
        <f t="shared" ca="1" si="279"/>
        <v>#N/A</v>
      </c>
      <c r="Q383" s="534" t="e">
        <f ca="1">IF(O383=1,δ_0*(SLOPE(INDIRECT(VLOOKUP(S383,$S$372:$X$384,5,FALSE)),INDIRECT(VLOOKUP(S383,$S$372:$X$384,6,FALSE)))-SLOPE(INDIRECT(VLOOKUP(S383-1,$S$372:$X$384,5,FALSE)),INDIRECT(VLOOKUP(S383-1,$S$372:$X$384,6,FALSE)))),0)*86400*VLOOKUP($L$317,Aux!$AL$72:$AN$83,3,FALSE)</f>
        <v>#N/A</v>
      </c>
      <c r="R383" s="534">
        <f t="shared" ca="1" si="285"/>
        <v>0</v>
      </c>
      <c r="S383" s="535" cm="1">
        <f t="array" aca="1" ref="S383" ca="1">SUM(IF(ISNUMBER(T$372:T383),1,0))+IF($J383&gt;Capas_VN_C1,1,0)</f>
        <v>4</v>
      </c>
      <c r="T383" s="50" t="e">
        <f t="shared" ca="1" si="280"/>
        <v>#N/A</v>
      </c>
      <c r="U383" s="50" t="e">
        <f t="shared" ca="1" si="281"/>
        <v>#N/A</v>
      </c>
      <c r="V383" s="50" t="e">
        <f t="shared" ca="1" si="282"/>
        <v>#N/A</v>
      </c>
      <c r="W383" s="50" t="str">
        <f t="shared" ca="1" si="283"/>
        <v>$U$375:$U$376</v>
      </c>
      <c r="X383" s="214" t="str">
        <f t="shared" ca="1" si="284"/>
        <v>$V$375:$V$376</v>
      </c>
      <c r="Y383" s="50"/>
      <c r="Z383" s="50"/>
      <c r="AA383" s="214"/>
      <c r="AB383" s="51"/>
      <c r="AC383" s="51"/>
      <c r="AD383" s="51"/>
      <c r="AE383" s="48"/>
      <c r="AF383" s="48"/>
      <c r="AG383" s="50"/>
      <c r="AH383" s="50"/>
      <c r="AI383" s="51"/>
      <c r="AJ383" s="50"/>
      <c r="AK383" s="55"/>
      <c r="AL383" s="55"/>
      <c r="AM383" s="51"/>
      <c r="AN383" s="51"/>
      <c r="AO383" s="51"/>
      <c r="AP383" s="48"/>
      <c r="AQ383" s="48"/>
      <c r="AR383" s="50"/>
      <c r="AS383" s="50"/>
      <c r="AT383" s="51"/>
      <c r="AU383" s="50"/>
      <c r="AV383" s="55"/>
      <c r="AW383" s="55"/>
      <c r="AX383" s="50"/>
      <c r="AY383" s="51"/>
      <c r="AZ383" s="51"/>
      <c r="BA383" s="48"/>
      <c r="BB383" s="48"/>
      <c r="BC383" s="50"/>
      <c r="BD383" s="50"/>
      <c r="BP383" s="53"/>
      <c r="BQ383" s="52"/>
      <c r="BR383" s="54"/>
      <c r="BS383" s="50"/>
      <c r="BT383" s="55"/>
      <c r="BU383" s="55"/>
      <c r="BV383" s="51"/>
      <c r="BW383" s="51"/>
      <c r="BX383" s="51"/>
      <c r="BY383" s="48"/>
      <c r="BZ383" s="48"/>
      <c r="CA383" s="50"/>
      <c r="CB383" s="52"/>
      <c r="CC383" s="54"/>
      <c r="CD383" s="50"/>
      <c r="CE383" s="55"/>
      <c r="CF383" s="55"/>
      <c r="CG383" s="51"/>
      <c r="CH383" s="51"/>
      <c r="CI383" s="51"/>
      <c r="CJ383" s="48"/>
      <c r="CK383" s="48"/>
      <c r="CL383" s="50"/>
      <c r="CM383" s="52"/>
      <c r="CN383" s="54"/>
      <c r="CO383" s="50"/>
      <c r="CP383" s="55"/>
      <c r="CQ383" s="55"/>
      <c r="CR383" s="51"/>
      <c r="CS383" s="51"/>
      <c r="CT383" s="51"/>
      <c r="CU383" s="48"/>
      <c r="CV383" s="48"/>
      <c r="CW383" s="50"/>
      <c r="CX383" s="50"/>
      <c r="CY383" s="54"/>
      <c r="CZ383" s="50"/>
      <c r="DA383" s="55"/>
      <c r="DB383" s="55"/>
      <c r="DC383" s="50"/>
      <c r="DD383" s="51"/>
      <c r="DE383" s="51"/>
      <c r="DF383" s="48"/>
      <c r="DG383" s="48"/>
      <c r="DH383" s="50"/>
      <c r="DI383" s="52"/>
    </row>
    <row r="384" spans="10:113" x14ac:dyDescent="0.25">
      <c r="J384" s="517">
        <v>12</v>
      </c>
      <c r="K384" s="53" t="e">
        <v>#N/A</v>
      </c>
      <c r="L384" s="47" t="e">
        <v>#N/A</v>
      </c>
      <c r="M384" s="54" t="e">
        <v>#N/A</v>
      </c>
      <c r="N384" s="50" t="e">
        <v>#N/A</v>
      </c>
      <c r="O384" s="55" t="e">
        <f ca="1"/>
        <v>#N/A</v>
      </c>
      <c r="P384" s="50" t="e">
        <f t="shared" ca="1" si="279"/>
        <v>#N/A</v>
      </c>
      <c r="Q384" s="534" t="e">
        <f ca="1">IF(O384=1,δ_0*(SLOPE(INDIRECT(VLOOKUP(S384,$S$372:$X$384,5,FALSE)),INDIRECT(VLOOKUP(S384,$S$372:$X$384,6,FALSE)))-SLOPE(INDIRECT(VLOOKUP(S384-1,$S$372:$X$384,5,FALSE)),INDIRECT(VLOOKUP(S384-1,$S$372:$X$384,6,FALSE)))),0)*86400*VLOOKUP($L$317,Aux!$AL$72:$AN$83,3,FALSE)</f>
        <v>#N/A</v>
      </c>
      <c r="R384" s="534">
        <f t="shared" ca="1" si="285"/>
        <v>0</v>
      </c>
      <c r="S384" s="535" cm="1">
        <f t="array" aca="1" ref="S384" ca="1">SUM(IF(ISNUMBER(T$372:T384),1,0))+IF($J384&gt;Capas_VN_C1,1,0)</f>
        <v>4</v>
      </c>
      <c r="T384" s="50" t="e">
        <f t="shared" ca="1" si="280"/>
        <v>#N/A</v>
      </c>
      <c r="U384" s="50" t="e">
        <f t="shared" ca="1" si="281"/>
        <v>#N/A</v>
      </c>
      <c r="V384" s="50" t="e">
        <f t="shared" ca="1" si="282"/>
        <v>#N/A</v>
      </c>
      <c r="W384" s="50" t="str">
        <f t="shared" ca="1" si="283"/>
        <v>$U$375:$U$376</v>
      </c>
      <c r="X384" s="214" t="str">
        <f t="shared" ca="1" si="284"/>
        <v>$V$375:$V$376</v>
      </c>
      <c r="Y384" s="50"/>
      <c r="Z384" s="50"/>
      <c r="AA384" s="214"/>
      <c r="AB384" s="51"/>
      <c r="AC384" s="51"/>
      <c r="AD384" s="51"/>
      <c r="AE384" s="48"/>
      <c r="AF384" s="48"/>
      <c r="AG384" s="50"/>
      <c r="AH384" s="50"/>
      <c r="AI384" s="51"/>
      <c r="AJ384" s="50"/>
      <c r="AK384" s="55"/>
      <c r="AL384" s="55"/>
      <c r="AM384" s="51"/>
      <c r="AN384" s="51"/>
      <c r="AO384" s="51"/>
      <c r="AP384" s="48"/>
      <c r="AQ384" s="48"/>
      <c r="AR384" s="50"/>
      <c r="AS384" s="50"/>
      <c r="AT384" s="51"/>
      <c r="AU384" s="50"/>
      <c r="AV384" s="55"/>
      <c r="AW384" s="55"/>
      <c r="AX384" s="50"/>
      <c r="AY384" s="51"/>
      <c r="AZ384" s="51"/>
      <c r="BA384" s="48"/>
      <c r="BB384" s="48"/>
      <c r="BC384" s="50"/>
      <c r="BD384" s="50"/>
      <c r="BP384" s="53"/>
      <c r="BQ384" s="52"/>
      <c r="BR384" s="54"/>
      <c r="BS384" s="50"/>
      <c r="BT384" s="55"/>
      <c r="BU384" s="55"/>
      <c r="BV384" s="51"/>
      <c r="BW384" s="51"/>
      <c r="BX384" s="51"/>
      <c r="BY384" s="48"/>
      <c r="BZ384" s="48"/>
      <c r="CA384" s="50"/>
      <c r="CB384" s="52"/>
      <c r="CC384" s="54"/>
      <c r="CD384" s="50"/>
      <c r="CE384" s="55"/>
      <c r="CF384" s="55"/>
      <c r="CG384" s="51"/>
      <c r="CH384" s="51"/>
      <c r="CI384" s="51"/>
      <c r="CJ384" s="48"/>
      <c r="CK384" s="48"/>
      <c r="CL384" s="50"/>
      <c r="CM384" s="52"/>
      <c r="CN384" s="54"/>
      <c r="CO384" s="50"/>
      <c r="CP384" s="55"/>
      <c r="CQ384" s="55"/>
      <c r="CR384" s="51"/>
      <c r="CS384" s="51"/>
      <c r="CT384" s="51"/>
      <c r="CU384" s="48"/>
      <c r="CV384" s="48"/>
      <c r="CW384" s="50"/>
      <c r="CX384" s="50"/>
      <c r="CY384" s="54"/>
      <c r="CZ384" s="50"/>
      <c r="DA384" s="55"/>
      <c r="DB384" s="55"/>
      <c r="DC384" s="50"/>
      <c r="DD384" s="51"/>
      <c r="DE384" s="51"/>
      <c r="DF384" s="48"/>
      <c r="DG384" s="48"/>
      <c r="DH384" s="50"/>
      <c r="DI384" s="52"/>
    </row>
    <row r="385" spans="10:113" ht="15.75" thickBot="1" x14ac:dyDescent="0.3">
      <c r="J385" s="517"/>
      <c r="K385" s="53"/>
      <c r="L385" s="52"/>
      <c r="M385" s="62"/>
      <c r="N385" s="65"/>
      <c r="O385" s="65"/>
      <c r="P385" s="58"/>
      <c r="Q385" s="65"/>
      <c r="R385" s="65"/>
      <c r="S385" s="62"/>
      <c r="T385" s="65"/>
      <c r="U385" s="65"/>
      <c r="V385" s="65"/>
      <c r="W385" s="65"/>
      <c r="X385" s="61"/>
      <c r="Y385" s="65"/>
      <c r="Z385" s="65"/>
      <c r="AA385" s="61"/>
      <c r="AB385" s="51"/>
      <c r="AC385" s="51"/>
      <c r="AD385" s="51"/>
      <c r="AE385" s="48"/>
      <c r="AF385" s="48"/>
      <c r="AG385" s="50"/>
      <c r="AH385" s="50"/>
      <c r="AI385" s="51"/>
      <c r="AJ385" s="50"/>
      <c r="AK385" s="55"/>
      <c r="AL385" s="55"/>
      <c r="AM385" s="51"/>
      <c r="AN385" s="51"/>
      <c r="AO385" s="51"/>
      <c r="AP385" s="48"/>
      <c r="AQ385" s="48"/>
      <c r="AR385" s="50"/>
      <c r="AS385" s="50"/>
      <c r="AT385" s="51"/>
      <c r="AU385" s="50"/>
      <c r="AV385" s="55"/>
      <c r="AW385" s="55"/>
      <c r="AX385" s="50"/>
      <c r="AY385" s="51"/>
      <c r="AZ385" s="51"/>
      <c r="BA385" s="48"/>
      <c r="BB385" s="48"/>
      <c r="BC385" s="50"/>
      <c r="BD385" s="50"/>
      <c r="BP385" s="53"/>
      <c r="BQ385" s="52"/>
      <c r="BR385" s="54"/>
      <c r="BS385" s="50"/>
      <c r="BT385" s="55"/>
      <c r="BU385" s="55"/>
      <c r="BV385" s="51"/>
      <c r="BW385" s="51"/>
      <c r="BX385" s="51"/>
      <c r="BY385" s="48"/>
      <c r="BZ385" s="48"/>
      <c r="CA385" s="50"/>
      <c r="CB385" s="52"/>
      <c r="CC385" s="54"/>
      <c r="CD385" s="50"/>
      <c r="CE385" s="55"/>
      <c r="CF385" s="55"/>
      <c r="CG385" s="51"/>
      <c r="CH385" s="51"/>
      <c r="CI385" s="51"/>
      <c r="CJ385" s="48"/>
      <c r="CK385" s="48"/>
      <c r="CL385" s="50"/>
      <c r="CM385" s="52"/>
      <c r="CN385" s="54"/>
      <c r="CO385" s="50"/>
      <c r="CP385" s="55"/>
      <c r="CQ385" s="55"/>
      <c r="CR385" s="51"/>
      <c r="CS385" s="51"/>
      <c r="CT385" s="51"/>
      <c r="CU385" s="48"/>
      <c r="CV385" s="48"/>
      <c r="CW385" s="50"/>
      <c r="CX385" s="50"/>
      <c r="CY385" s="54"/>
      <c r="CZ385" s="50"/>
      <c r="DA385" s="55"/>
      <c r="DB385" s="55"/>
      <c r="DC385" s="50"/>
      <c r="DD385" s="51"/>
      <c r="DE385" s="51"/>
      <c r="DF385" s="48"/>
      <c r="DG385" s="48"/>
      <c r="DH385" s="50"/>
      <c r="DI385" s="52"/>
    </row>
    <row r="386" spans="10:113" ht="15.75" thickBot="1" x14ac:dyDescent="0.3">
      <c r="K386" s="68" t="s">
        <v>145</v>
      </c>
      <c r="L386" s="505">
        <v>5</v>
      </c>
      <c r="M386" s="506" t="s">
        <v>275</v>
      </c>
      <c r="N386" s="507">
        <v>20</v>
      </c>
      <c r="O386" s="36" t="s">
        <v>735</v>
      </c>
      <c r="P386" s="513">
        <v>518.08234687972265</v>
      </c>
      <c r="X386" s="50"/>
      <c r="Y386" s="50"/>
      <c r="Z386" s="55"/>
      <c r="AI386" s="50"/>
      <c r="AK386" s="50"/>
      <c r="AL386" s="55"/>
      <c r="AT386" s="50"/>
      <c r="BP386" s="62"/>
      <c r="BQ386" s="63"/>
      <c r="BR386" s="62"/>
      <c r="BS386" s="65"/>
      <c r="BT386" s="64"/>
      <c r="BU386" s="58"/>
      <c r="BV386" s="58"/>
      <c r="BW386" s="58"/>
      <c r="BX386" s="58"/>
      <c r="BY386" s="58"/>
      <c r="BZ386" s="58"/>
      <c r="CA386" s="58"/>
      <c r="CB386" s="61"/>
      <c r="CC386" s="62"/>
      <c r="CD386" s="65"/>
      <c r="CE386" s="64"/>
      <c r="CF386" s="58"/>
      <c r="CG386" s="58"/>
      <c r="CH386" s="58"/>
      <c r="CI386" s="58"/>
      <c r="CJ386" s="58"/>
      <c r="CK386" s="58"/>
      <c r="CL386" s="58"/>
      <c r="CM386" s="61"/>
      <c r="CN386" s="62"/>
      <c r="CO386" s="58"/>
      <c r="CP386" s="65"/>
      <c r="CQ386" s="64"/>
      <c r="CR386" s="58"/>
      <c r="CS386" s="58"/>
      <c r="CT386" s="58"/>
      <c r="CU386" s="58"/>
      <c r="CV386" s="58"/>
      <c r="CW386" s="58"/>
      <c r="CX386" s="58"/>
      <c r="CY386" s="62"/>
      <c r="CZ386" s="58"/>
      <c r="DA386" s="58"/>
      <c r="DB386" s="58"/>
      <c r="DC386" s="58"/>
      <c r="DD386" s="58"/>
      <c r="DE386" s="58"/>
      <c r="DF386" s="58"/>
      <c r="DG386" s="58"/>
      <c r="DH386" s="58"/>
      <c r="DI386" s="61"/>
    </row>
    <row r="387" spans="10:113" x14ac:dyDescent="0.25">
      <c r="K387" s="75" t="s">
        <v>144</v>
      </c>
      <c r="L387" s="22">
        <v>0.88</v>
      </c>
      <c r="M387" s="80" t="s">
        <v>771</v>
      </c>
      <c r="N387" s="508">
        <v>0.55000000000000004</v>
      </c>
      <c r="O387" s="68" t="s">
        <v>780</v>
      </c>
      <c r="P387" s="507" t="b">
        <v>1</v>
      </c>
      <c r="T387" s="22"/>
      <c r="U387" s="22"/>
      <c r="X387" s="22"/>
      <c r="Y387" s="28"/>
      <c r="Z387" s="48"/>
      <c r="AI387" s="22"/>
      <c r="AJ387" s="28"/>
      <c r="AK387" s="48"/>
      <c r="AT387" s="22"/>
      <c r="AU387" s="28"/>
      <c r="AV387" s="48"/>
      <c r="BP387" s="68" t="s">
        <v>144</v>
      </c>
      <c r="BQ387" s="73" t="e">
        <f>IF([0]!Casilla2,φe_H1_C1,VLOOKUP(Seccion1!provincia_C1,datos_humedad_julio[],$L$57+1,FALSE))</f>
        <v>#NAME?</v>
      </c>
      <c r="BR387" s="111"/>
      <c r="BS387" s="77" t="s">
        <v>160</v>
      </c>
      <c r="BT387" s="70"/>
      <c r="BU387" s="38"/>
      <c r="BV387" s="38"/>
      <c r="BW387" s="38"/>
      <c r="BX387" s="38"/>
      <c r="BY387" s="71"/>
      <c r="BZ387" s="71"/>
      <c r="CA387" s="38"/>
      <c r="CB387" s="72"/>
      <c r="CC387" s="111"/>
      <c r="CD387" s="77" t="s">
        <v>160</v>
      </c>
      <c r="CE387" s="67"/>
      <c r="CF387" s="38"/>
      <c r="CG387" s="38"/>
      <c r="CH387" s="38"/>
      <c r="CI387" s="38"/>
      <c r="CJ387" s="38"/>
      <c r="CK387" s="38"/>
      <c r="CL387" s="38"/>
      <c r="CM387" s="72"/>
      <c r="CN387" s="111"/>
      <c r="CO387" s="77" t="s">
        <v>160</v>
      </c>
      <c r="CP387" s="67"/>
      <c r="CQ387" s="38"/>
      <c r="CR387" s="38"/>
      <c r="CS387" s="38"/>
      <c r="CT387" s="38"/>
      <c r="CU387" s="38"/>
      <c r="CV387" s="38"/>
      <c r="CW387" s="38"/>
      <c r="CX387" s="38"/>
      <c r="CY387" s="111"/>
      <c r="CZ387" s="77" t="s">
        <v>160</v>
      </c>
      <c r="DA387" s="67"/>
      <c r="DB387" s="38"/>
      <c r="DC387" s="38"/>
      <c r="DD387" s="38"/>
      <c r="DE387" s="38"/>
      <c r="DF387" s="38"/>
      <c r="DG387" s="38"/>
      <c r="DH387" s="38"/>
      <c r="DI387" s="72"/>
    </row>
    <row r="388" spans="10:113" x14ac:dyDescent="0.25">
      <c r="K388" s="75" t="s">
        <v>108</v>
      </c>
      <c r="L388" s="79">
        <v>871.86452524041533</v>
      </c>
      <c r="M388" s="80" t="s">
        <v>109</v>
      </c>
      <c r="N388" s="78">
        <v>2336.9511438023419</v>
      </c>
      <c r="O388" s="75" t="s">
        <v>782</v>
      </c>
      <c r="P388" s="508">
        <v>1</v>
      </c>
      <c r="T388" s="48"/>
      <c r="U388" s="48"/>
      <c r="X388" s="82"/>
      <c r="Y388" s="80"/>
      <c r="Z388" s="48"/>
      <c r="AI388" s="82"/>
      <c r="AJ388" s="80"/>
      <c r="AK388" s="48"/>
      <c r="AT388" s="82"/>
      <c r="AU388" s="80"/>
      <c r="AV388" s="48"/>
      <c r="BP388" s="75" t="s">
        <v>145</v>
      </c>
      <c r="BQ388" s="76" t="e">
        <f>IF([0]!Casilla2,φe_H1_C1,VLOOKUP(Seccion1!provincia_C1,datos_temperatura_julio[],$L$57+1,FALSE))</f>
        <v>#NAME?</v>
      </c>
      <c r="BR388" s="112"/>
      <c r="BS388" s="80" t="s">
        <v>162</v>
      </c>
      <c r="BT388" s="17"/>
      <c r="BY388" s="48"/>
      <c r="BZ388" s="48"/>
      <c r="CB388" s="49"/>
      <c r="CC388" s="112"/>
      <c r="CD388" s="80" t="s">
        <v>162</v>
      </c>
      <c r="CE388" s="48"/>
      <c r="CM388" s="49"/>
      <c r="CN388" s="112"/>
      <c r="CO388" s="80" t="s">
        <v>162</v>
      </c>
      <c r="CP388" s="48"/>
      <c r="CY388" s="112"/>
      <c r="CZ388" s="80" t="s">
        <v>162</v>
      </c>
      <c r="DA388" s="48"/>
      <c r="DI388" s="49"/>
    </row>
    <row r="389" spans="10:113" ht="18.75" thickBot="1" x14ac:dyDescent="0.4">
      <c r="K389" s="486" t="s">
        <v>156</v>
      </c>
      <c r="L389" s="509">
        <v>767.24078221156549</v>
      </c>
      <c r="M389" s="115" t="s">
        <v>781</v>
      </c>
      <c r="N389" s="487">
        <v>1285.3231290912881</v>
      </c>
      <c r="O389" s="75" t="s">
        <v>161</v>
      </c>
      <c r="P389" s="508">
        <v>1.7183152138920043E-11</v>
      </c>
      <c r="X389" s="79"/>
      <c r="Y389" s="80"/>
      <c r="Z389" s="79"/>
      <c r="AI389" s="79"/>
      <c r="AJ389" s="80"/>
      <c r="AK389" s="79"/>
      <c r="AT389" s="79"/>
      <c r="AU389" s="80"/>
      <c r="AV389" s="79"/>
      <c r="BP389" s="75" t="s">
        <v>108</v>
      </c>
      <c r="BQ389" s="78">
        <f ca="1">IF(ISNUMBER(ϴe_H3_C1),IF(ϴe_H3_C1&gt;=0,610.5*EXP((17.269*ϴe_H3_C1)/(237.3+ϴe_H3_C1)),610.5*EXP((21.875*ϴe_H3_C1)/(265.5+ϴe_H3_C1))),NA())</f>
        <v>871.86452524041533</v>
      </c>
      <c r="BR389" s="113"/>
      <c r="BS389" s="80" t="s">
        <v>125</v>
      </c>
      <c r="BT389" s="79"/>
      <c r="CB389" s="49"/>
      <c r="CC389" s="113"/>
      <c r="CD389" s="80" t="s">
        <v>125</v>
      </c>
      <c r="CE389" s="79"/>
      <c r="CM389" s="49"/>
      <c r="CN389" s="113"/>
      <c r="CO389" s="80" t="s">
        <v>125</v>
      </c>
      <c r="CP389" s="79"/>
      <c r="CY389" s="113"/>
      <c r="CZ389" s="80" t="s">
        <v>125</v>
      </c>
      <c r="DA389" s="79"/>
      <c r="DI389" s="49"/>
    </row>
    <row r="390" spans="10:113" ht="18" x14ac:dyDescent="0.35">
      <c r="K390" s="68" t="s">
        <v>779</v>
      </c>
      <c r="L390" s="70" t="b">
        <v>0</v>
      </c>
      <c r="M390" s="38"/>
      <c r="N390" s="72"/>
      <c r="O390" s="75" t="s">
        <v>628</v>
      </c>
      <c r="P390" s="49"/>
      <c r="X390" s="79"/>
      <c r="Y390" s="80"/>
      <c r="Z390" s="82"/>
      <c r="AI390" s="79"/>
      <c r="AJ390" s="80"/>
      <c r="AK390" s="82"/>
      <c r="AT390" s="79"/>
      <c r="AU390" s="80"/>
      <c r="AV390" s="82"/>
      <c r="BP390" s="81" t="s">
        <v>109</v>
      </c>
      <c r="BQ390" s="78" t="e">
        <f>IF(ISNUMBER([0]!ϴi_C1),IF([0]!ϴi_C1&gt;=0,610.5*EXP((17.269*[0]!ϴi_C1)/(237.3+[0]!ϴi_C1)),610.5*EXP((21.875*[0]!ϴi_C1)/(265.5+[0]!ϴi_C1))),NA())</f>
        <v>#N/A</v>
      </c>
      <c r="BR390" s="113"/>
      <c r="BS390" s="80" t="s">
        <v>126</v>
      </c>
      <c r="BT390" s="82"/>
      <c r="CB390" s="49"/>
      <c r="CC390" s="113"/>
      <c r="CD390" s="80" t="s">
        <v>126</v>
      </c>
      <c r="CE390" s="82"/>
      <c r="CM390" s="49"/>
      <c r="CN390" s="113"/>
      <c r="CO390" s="80" t="s">
        <v>126</v>
      </c>
      <c r="CP390" s="82"/>
      <c r="CY390" s="113"/>
      <c r="CZ390" s="80" t="s">
        <v>126</v>
      </c>
      <c r="DA390" s="82"/>
      <c r="DI390" s="49"/>
    </row>
    <row r="391" spans="10:113" ht="18" x14ac:dyDescent="0.35">
      <c r="K391" s="75" t="s">
        <v>125</v>
      </c>
      <c r="L391" s="79">
        <v>1606.6539113641102</v>
      </c>
      <c r="M391" s="80" t="s">
        <v>126</v>
      </c>
      <c r="N391" s="76">
        <v>14.085857287010302</v>
      </c>
      <c r="O391" s="43"/>
      <c r="P391" s="49"/>
      <c r="X391" s="79"/>
      <c r="Y391" s="80"/>
      <c r="Z391" s="83"/>
      <c r="AI391" s="79"/>
      <c r="AJ391" s="80"/>
      <c r="AK391" s="83"/>
      <c r="AT391" s="79"/>
      <c r="AU391" s="80"/>
      <c r="AV391" s="83"/>
      <c r="BP391" s="75" t="s">
        <v>156</v>
      </c>
      <c r="BQ391" s="78">
        <f ca="1">P_sat_e_VN_C1*φe_H3_C1</f>
        <v>767.24078221156549</v>
      </c>
      <c r="BR391" s="113"/>
      <c r="BS391" s="80" t="s">
        <v>127</v>
      </c>
      <c r="BT391" s="83"/>
      <c r="CB391" s="49"/>
      <c r="CC391" s="113"/>
      <c r="CD391" s="80" t="s">
        <v>127</v>
      </c>
      <c r="CE391" s="83"/>
      <c r="CM391" s="49"/>
      <c r="CN391" s="113"/>
      <c r="CO391" s="80" t="s">
        <v>127</v>
      </c>
      <c r="CP391" s="83"/>
      <c r="CY391" s="113"/>
      <c r="CZ391" s="80" t="s">
        <v>127</v>
      </c>
      <c r="DA391" s="83"/>
      <c r="DI391" s="49"/>
    </row>
    <row r="392" spans="10:113" ht="18.75" thickBot="1" x14ac:dyDescent="0.4">
      <c r="K392" s="486" t="s">
        <v>127</v>
      </c>
      <c r="L392" s="512">
        <v>0.60572381913402018</v>
      </c>
      <c r="M392" s="115" t="s">
        <v>122</v>
      </c>
      <c r="N392" s="510">
        <v>0.32971811716972294</v>
      </c>
      <c r="O392" s="57"/>
      <c r="P392" s="61"/>
      <c r="X392" s="22"/>
      <c r="Y392" s="80"/>
      <c r="Z392" s="22"/>
      <c r="AI392" s="22"/>
      <c r="AJ392" s="80"/>
      <c r="AK392" s="22"/>
      <c r="AT392" s="22"/>
      <c r="AU392" s="80"/>
      <c r="AV392" s="22"/>
      <c r="BP392" s="75"/>
      <c r="BR392" s="114"/>
      <c r="BS392" s="80" t="s">
        <v>122</v>
      </c>
      <c r="BT392" s="22"/>
      <c r="CB392" s="49"/>
      <c r="CC392" s="114"/>
      <c r="CD392" s="80" t="s">
        <v>122</v>
      </c>
      <c r="CE392" s="22"/>
      <c r="CM392" s="49"/>
      <c r="CN392" s="114"/>
      <c r="CO392" s="80" t="s">
        <v>122</v>
      </c>
      <c r="CP392" s="22"/>
      <c r="CY392" s="114"/>
      <c r="CZ392" s="80" t="s">
        <v>122</v>
      </c>
      <c r="DA392" s="22"/>
      <c r="DI392" s="49"/>
    </row>
    <row r="393" spans="10:113" x14ac:dyDescent="0.25">
      <c r="K393" s="80"/>
      <c r="N393" s="28"/>
      <c r="O393" s="17"/>
      <c r="Y393" s="28"/>
      <c r="Z393" s="17"/>
      <c r="AJ393" s="28"/>
      <c r="AK393" s="17"/>
      <c r="AU393" s="28"/>
      <c r="AV393" s="17"/>
      <c r="BP393" s="43"/>
      <c r="BQ393" s="49"/>
      <c r="BR393" s="43"/>
      <c r="BS393" s="28" t="s">
        <v>159</v>
      </c>
      <c r="BT393" s="17"/>
      <c r="CB393" s="49"/>
      <c r="CC393" s="43"/>
      <c r="CD393" s="28" t="s">
        <v>159</v>
      </c>
      <c r="CE393" s="17"/>
      <c r="CM393" s="49"/>
      <c r="CN393" s="43"/>
      <c r="CO393" s="28" t="s">
        <v>159</v>
      </c>
      <c r="CP393" s="17"/>
      <c r="CY393" s="43"/>
      <c r="CZ393" s="28" t="s">
        <v>159</v>
      </c>
      <c r="DA393" s="17"/>
      <c r="DI393" s="49"/>
    </row>
    <row r="394" spans="10:113" ht="15.75" thickBot="1" x14ac:dyDescent="0.3">
      <c r="K394" s="80"/>
      <c r="N394" s="80"/>
      <c r="Y394" s="80"/>
      <c r="Z394" s="17"/>
      <c r="AJ394" s="80"/>
      <c r="AK394" s="17"/>
      <c r="AU394" s="80"/>
      <c r="AV394" s="17"/>
      <c r="BP394" s="57"/>
      <c r="BQ394" s="61"/>
      <c r="BR394" s="57"/>
      <c r="BS394" s="115" t="s">
        <v>161</v>
      </c>
      <c r="BT394" s="58"/>
      <c r="BU394" s="58"/>
      <c r="BV394" s="58"/>
      <c r="BW394" s="58"/>
      <c r="BX394" s="58"/>
      <c r="BY394" s="58"/>
      <c r="BZ394" s="58"/>
      <c r="CA394" s="58"/>
      <c r="CB394" s="61"/>
      <c r="CC394" s="57"/>
      <c r="CD394" s="115" t="s">
        <v>161</v>
      </c>
      <c r="CE394" s="84"/>
      <c r="CF394" s="58"/>
      <c r="CG394" s="58"/>
      <c r="CH394" s="58"/>
      <c r="CI394" s="58"/>
      <c r="CJ394" s="58"/>
      <c r="CK394" s="58"/>
      <c r="CL394" s="58"/>
      <c r="CM394" s="61"/>
      <c r="CN394" s="57"/>
      <c r="CO394" s="115" t="s">
        <v>161</v>
      </c>
      <c r="CP394" s="84"/>
      <c r="CQ394" s="58"/>
      <c r="CR394" s="58"/>
      <c r="CS394" s="58"/>
      <c r="CT394" s="58"/>
      <c r="CU394" s="58"/>
      <c r="CV394" s="58"/>
      <c r="CW394" s="58"/>
      <c r="CX394" s="58"/>
      <c r="CY394" s="57"/>
      <c r="CZ394" s="115" t="s">
        <v>161</v>
      </c>
      <c r="DA394" s="84"/>
      <c r="DB394" s="58"/>
      <c r="DC394" s="58"/>
      <c r="DD394" s="58"/>
      <c r="DE394" s="58"/>
      <c r="DF394" s="58"/>
      <c r="DG394" s="58"/>
      <c r="DH394" s="58"/>
      <c r="DI394" s="61"/>
    </row>
  </sheetData>
  <sheetProtection algorithmName="SHA-512" hashValue="JNSQizv5jOIz/vZUPx+LEbqp+NRtv/CY0PEJaH3//31iDqFpiG633H1u6TnbrUpISSz/c66y/z+ps0fKUOn1OA==" saltValue="kHgfizye795zaSpUjddM1g==" spinCount="100000" sheet="1" objects="1" scenarios="1"/>
  <dataConsolidate/>
  <mergeCells count="2">
    <mergeCell ref="C116:H116"/>
    <mergeCell ref="C144:H144"/>
  </mergeCells>
  <conditionalFormatting sqref="T20:U20">
    <cfRule type="containsErrors" dxfId="2091" priority="2768">
      <formula>ISERROR(T20)</formula>
    </cfRule>
  </conditionalFormatting>
  <conditionalFormatting sqref="BL5:BO5 BP4:BQ4 BS19:BT19 BT21 BS4:BT4 J22:L24 DH3:DI3 BO25 BO23:BQ24 L26 J25:K25 BO50:BO51 BN49:BO49 BE52:BO54 B88 DH30:DI30 B54:L54 B20:L21 B24:G26 B52:J53 B22:F22 B49:F50 B51:G51 B32:E32 B59:E59 B74:E74 C73:E73 B46:E48 B23:C23 E23:F23 M20:N20 G48:I48 G47:K47 G78 F79:J80 B82:C82 E83:F83 B76:E77 O108:Q108 G74:I75 M76 T74:W75 P62:Q63 P64:P72 N59:Q59 P60:P61 R59:W72 P80:Q80 J77:L77 J78:K78 K79:M79 O79 K80:N80 O74:Q74 E81:J81 G82:J82 Q76:Q77 O75:P77 R32:W45 N32:Q46 B5:O19 K74:L74 K75 M21:W24 B27:W27 P20:W20 N47:W49 P5:W18 P19:U19 P50:W52 N53:W54 N73:W73 P393:W393 N394:W394 P133:Q133 N134:Q134 T133:X134 P159:Q159 N160:Q160 T159:X160 P185:Q185 N186:Q186 T185:X186 P341:Q341 N342:Q342 T341:X342 P211:Q211 N212:Q212 T211:X212 P237:Q237 N238:Q238 T237:X238 P263:Q263 N264:Q264 T263:X264 P289:Q289 N290:Q290 T289:X290 P315:Q315 N316:Q316 T315:X316 P367:Q367 N368:Q368 T367:X368 Q60:Q72 Z108:AH108 Z100:AH103 Z134:AH134 Z126:AH129 Z160:AH160 Z152:AH155 Z308:AH311 Z186:AH186 Z178:AH181 Z342:AH342 Z212:AH212 Z204:AH207 Z238:AH238 Z230:AH233 Z264:AH264 Z256:AH259 Z290:AH290 Z282:AH285 Z316:AH316 Z334:AH337 Z368:AH368 Z360:AH363 N85 Q85:Q99 Q215:Q216 Y267:Z267 Y281:Z281 Y293:Z293 Y307:Z307 Y319:Z319 Y333:Z333 Y345:Z345 Y359:Z359 Y371:Z371 Y385:Z385 P85:Q85 AB83:DI83 R85:W86 P99:W99 O111:W111 O125:W125 P137:W137 R138 P151:W151 R164 Q138:Q150 P163:W163 P177:W177 Q164:Q176 R190 P189:W189 P203:W203 Q190:Q202 R215:W215 Q229:W229 R241:W241 R255:W255 Q112:R124 R216:R228 R242:R254 M25:N26 P25:W26 BE19:BQ22">
    <cfRule type="containsErrors" dxfId="2090" priority="2767">
      <formula>ISERROR(B3)</formula>
    </cfRule>
  </conditionalFormatting>
  <conditionalFormatting sqref="Z21:AA21">
    <cfRule type="containsErrors" dxfId="2089" priority="2758">
      <formula>ISERROR(Z21)</formula>
    </cfRule>
  </conditionalFormatting>
  <conditionalFormatting sqref="BL5:BQ6 Y6:AF18 Y5:AG5 Y19:AG19 AJ5:AR19 AU5:BC19 BE26:BQ27 BE5:BJ6 BS27:CA27 BS5:CA19 CD5:CL19 CD27:CL27 CO27:CW27 CO5:CW19 CZ5:DH19 CZ27:DH27 BE23:BL25 BE7:BG18 BL7:BM18 BO7:BQ18 CZ21:DH21 CZ20 DB20:DH20 CO21:CW21 CO20 CQ20:CW20 CD21:CL21 CD20 CF20:CL20 BS21:CA21 BS20 BU20:CA20 AU20 AW20:BC20 AJ20 AL20:AR20 Y20 AA20:AG20 AJ21:AR25 Y21:AG25 AU21:BC25 Y27:AG27 Y26 AA26:AG26 AJ27:AR27 AJ26 AL26:AR26 AU27:BC27 AU26 AW26:BC26 BS22:BS26 BU26:CA26 CD26 CF26:CL26 CO26 CQ26:CW26 CZ26 DB22:DH26">
    <cfRule type="containsErrors" dxfId="2088" priority="2740">
      <formula>ISERROR(Y5)</formula>
    </cfRule>
  </conditionalFormatting>
  <conditionalFormatting sqref="CD6:CD18">
    <cfRule type="containsErrors" dxfId="2087" priority="2726">
      <formula>ISERROR(CD6)</formula>
    </cfRule>
  </conditionalFormatting>
  <conditionalFormatting sqref="DH3 CQ19 CP21:CQ21 BP23 BS5:BT18 BS24:BS26 BS20 CD4:CE19 CO5:CQ5 CZ4:DA19 CO4:CP4 CO6:CP18 DA21:DB21">
    <cfRule type="containsErrors" dxfId="2086" priority="2739">
      <formula>ISERROR(BP3)</formula>
    </cfRule>
  </conditionalFormatting>
  <conditionalFormatting sqref="BS6:BS18">
    <cfRule type="containsErrors" dxfId="2085" priority="2737">
      <formula>ISERROR(BS6)</formula>
    </cfRule>
  </conditionalFormatting>
  <conditionalFormatting sqref="CD6:CD18">
    <cfRule type="containsErrors" dxfId="2084" priority="2736">
      <formula>ISERROR(CD6)</formula>
    </cfRule>
  </conditionalFormatting>
  <conditionalFormatting sqref="CO6:CO18">
    <cfRule type="containsErrors" dxfId="2083" priority="2735">
      <formula>ISERROR(CO6)</formula>
    </cfRule>
  </conditionalFormatting>
  <conditionalFormatting sqref="CZ6:CZ18">
    <cfRule type="containsErrors" dxfId="2082" priority="2734">
      <formula>ISERROR(CZ6)</formula>
    </cfRule>
  </conditionalFormatting>
  <conditionalFormatting sqref="CE21:CF21">
    <cfRule type="containsErrors" dxfId="2081" priority="2733">
      <formula>ISERROR(CE21)</formula>
    </cfRule>
  </conditionalFormatting>
  <conditionalFormatting sqref="CD6:CD18">
    <cfRule type="containsErrors" dxfId="2080" priority="2732">
      <formula>ISERROR(CD6)</formula>
    </cfRule>
  </conditionalFormatting>
  <conditionalFormatting sqref="CO6:CO18">
    <cfRule type="containsErrors" dxfId="2079" priority="2731">
      <formula>ISERROR(CO6)</formula>
    </cfRule>
  </conditionalFormatting>
  <conditionalFormatting sqref="CO6:CO18">
    <cfRule type="containsErrors" dxfId="2078" priority="2730">
      <formula>ISERROR(CO6)</formula>
    </cfRule>
  </conditionalFormatting>
  <conditionalFormatting sqref="CD6:CD18">
    <cfRule type="containsErrors" dxfId="2077" priority="2729">
      <formula>ISERROR(CD6)</formula>
    </cfRule>
  </conditionalFormatting>
  <conditionalFormatting sqref="CO6:CO18">
    <cfRule type="containsErrors" dxfId="2076" priority="2728">
      <formula>ISERROR(CO6)</formula>
    </cfRule>
  </conditionalFormatting>
  <conditionalFormatting sqref="CZ6:CZ18">
    <cfRule type="containsErrors" dxfId="2075" priority="2727">
      <formula>ISERROR(CZ6)</formula>
    </cfRule>
  </conditionalFormatting>
  <conditionalFormatting sqref="BG7:BG19">
    <cfRule type="containsErrors" dxfId="2074" priority="2725">
      <formula>ISERROR(BG7)</formula>
    </cfRule>
  </conditionalFormatting>
  <conditionalFormatting sqref="P4:Q4">
    <cfRule type="containsErrors" dxfId="2073" priority="2724">
      <formula>ISERROR(P4)</formula>
    </cfRule>
  </conditionalFormatting>
  <conditionalFormatting sqref="AG4">
    <cfRule type="containsErrors" dxfId="2072" priority="2721">
      <formula>ISERROR(AG4)</formula>
    </cfRule>
  </conditionalFormatting>
  <conditionalFormatting sqref="AR4">
    <cfRule type="containsErrors" dxfId="2071" priority="2720">
      <formula>ISERROR(AR4)</formula>
    </cfRule>
  </conditionalFormatting>
  <conditionalFormatting sqref="BC4">
    <cfRule type="containsErrors" dxfId="2070" priority="2719">
      <formula>ISERROR(BC4)</formula>
    </cfRule>
  </conditionalFormatting>
  <conditionalFormatting sqref="BS21">
    <cfRule type="containsErrors" dxfId="2069" priority="2718">
      <formula>ISERROR(BS21)</formula>
    </cfRule>
  </conditionalFormatting>
  <conditionalFormatting sqref="CL4">
    <cfRule type="containsErrors" dxfId="2068" priority="2716">
      <formula>ISERROR(CL4)</formula>
    </cfRule>
  </conditionalFormatting>
  <conditionalFormatting sqref="CA4">
    <cfRule type="containsErrors" dxfId="2067" priority="2717">
      <formula>ISERROR(CA4)</formula>
    </cfRule>
  </conditionalFormatting>
  <conditionalFormatting sqref="DF6:DG18">
    <cfRule type="containsErrors" dxfId="2066" priority="2704">
      <formula>ISERROR(DF6)</formula>
    </cfRule>
  </conditionalFormatting>
  <conditionalFormatting sqref="CW4">
    <cfRule type="containsErrors" dxfId="2065" priority="2715">
      <formula>ISERROR(CW4)</formula>
    </cfRule>
  </conditionalFormatting>
  <conditionalFormatting sqref="DH4">
    <cfRule type="containsErrors" dxfId="2064" priority="2714">
      <formula>ISERROR(DH4)</formula>
    </cfRule>
  </conditionalFormatting>
  <conditionalFormatting sqref="CA6:CA18 BU6:BX18">
    <cfRule type="containsErrors" dxfId="2063" priority="2713">
      <formula>ISERROR(BU6)</formula>
    </cfRule>
  </conditionalFormatting>
  <conditionalFormatting sqref="BY6:BZ18">
    <cfRule type="containsErrors" dxfId="2062" priority="2712">
      <formula>ISERROR(BY6)</formula>
    </cfRule>
  </conditionalFormatting>
  <conditionalFormatting sqref="DH6:DH18 DB6:DE18">
    <cfRule type="containsErrors" dxfId="2061" priority="2705">
      <formula>ISERROR(DB6)</formula>
    </cfRule>
  </conditionalFormatting>
  <conditionalFormatting sqref="CL6:CL18 CF6:CI18">
    <cfRule type="containsErrors" dxfId="2060" priority="2709">
      <formula>ISERROR(CF6)</formula>
    </cfRule>
  </conditionalFormatting>
  <conditionalFormatting sqref="CJ6:CK18">
    <cfRule type="containsErrors" dxfId="2059" priority="2708">
      <formula>ISERROR(CJ6)</formula>
    </cfRule>
  </conditionalFormatting>
  <conditionalFormatting sqref="CW6:CW18 CQ6:CT18">
    <cfRule type="containsErrors" dxfId="2058" priority="2707">
      <formula>ISERROR(CQ6)</formula>
    </cfRule>
  </conditionalFormatting>
  <conditionalFormatting sqref="CU6:CV18">
    <cfRule type="containsErrors" dxfId="2057" priority="2706">
      <formula>ISERROR(CU6)</formula>
    </cfRule>
  </conditionalFormatting>
  <conditionalFormatting sqref="CD20:CD21 CD26:CD27">
    <cfRule type="containsErrors" dxfId="2056" priority="2700">
      <formula>ISERROR(CD20)</formula>
    </cfRule>
  </conditionalFormatting>
  <conditionalFormatting sqref="CO20:CO21 CO26:CO27">
    <cfRule type="containsErrors" dxfId="2055" priority="2699">
      <formula>ISERROR(CO20)</formula>
    </cfRule>
  </conditionalFormatting>
  <conditionalFormatting sqref="CZ20:CZ21 CZ26:CZ27">
    <cfRule type="containsErrors" dxfId="2054" priority="2698">
      <formula>ISERROR(CZ20)</formula>
    </cfRule>
  </conditionalFormatting>
  <conditionalFormatting sqref="T47:U47">
    <cfRule type="containsErrors" dxfId="2053" priority="2686">
      <formula>ISERROR(T47)</formula>
    </cfRule>
  </conditionalFormatting>
  <conditionalFormatting sqref="BL32:BO32 BP31:BQ31 BS46:BT46 BP46:BQ46 BT48 BS31:BT31">
    <cfRule type="containsErrors" dxfId="2052" priority="2685">
      <formula>ISERROR(BL31)</formula>
    </cfRule>
  </conditionalFormatting>
  <conditionalFormatting sqref="Z47 Z48:AA48">
    <cfRule type="containsErrors" dxfId="2051" priority="2683">
      <formula>ISERROR(Z47)</formula>
    </cfRule>
  </conditionalFormatting>
  <conditionalFormatting sqref="G32:L32 BL32:BQ32 BM46:BQ46 G46:L46 BU50:CA53 CF50:CL53 CQ50:CW53 DB50:DH53 B34:B45 J48:K51 BO48 BP33:BQ45 K33:L45 N50:N52 Y54:AG54 AJ54:AR54 AU54:BC54 BE48:BF48 BE46:BJ47 BE32:BJ32 BE49:BL51 BS54:CA54 BS50:BS53 CD54:CL54 CD50:CD53 CO54:CW54 CO50:CO53 CZ54:DH54 CZ50:CZ53 B33:C33 BE33:BG45 Y32:AG49 AJ32:AR49 AU32:BC49 BS32:CA49 CD32:CL49 CO32:CW49 CZ32:DH49 BL47:BO47 Y50:Y53 AA50:AG53 AJ50:AJ53 AL50:AR53 AU50:AU53 AW50:BC53">
    <cfRule type="containsErrors" dxfId="2050" priority="2682">
      <formula>ISERROR(B32)</formula>
    </cfRule>
  </conditionalFormatting>
  <conditionalFormatting sqref="CD33:CD45">
    <cfRule type="containsErrors" dxfId="2049" priority="2669">
      <formula>ISERROR(CD33)</formula>
    </cfRule>
  </conditionalFormatting>
  <conditionalFormatting sqref="DH30 CQ46 CP48:CQ48 BS32:BT45 BS51:BS53 BS47:BT47 CD31:CE46 CO32:CQ32 CZ31:DA46 CO31:CP31 CO33:CP45 DA48:DB48 CP47 DA47">
    <cfRule type="containsErrors" dxfId="2048" priority="2681">
      <formula>ISERROR(BS30)</formula>
    </cfRule>
  </conditionalFormatting>
  <conditionalFormatting sqref="BS33:BS45">
    <cfRule type="containsErrors" dxfId="2047" priority="2680">
      <formula>ISERROR(BS33)</formula>
    </cfRule>
  </conditionalFormatting>
  <conditionalFormatting sqref="CD33:CD45">
    <cfRule type="containsErrors" dxfId="2046" priority="2679">
      <formula>ISERROR(CD33)</formula>
    </cfRule>
  </conditionalFormatting>
  <conditionalFormatting sqref="CO33:CO45">
    <cfRule type="containsErrors" dxfId="2045" priority="2678">
      <formula>ISERROR(CO33)</formula>
    </cfRule>
  </conditionalFormatting>
  <conditionalFormatting sqref="CZ33:CZ45">
    <cfRule type="containsErrors" dxfId="2044" priority="2677">
      <formula>ISERROR(CZ33)</formula>
    </cfRule>
  </conditionalFormatting>
  <conditionalFormatting sqref="CE47 CE48:CF48">
    <cfRule type="containsErrors" dxfId="2043" priority="2676">
      <formula>ISERROR(CE47)</formula>
    </cfRule>
  </conditionalFormatting>
  <conditionalFormatting sqref="CD33:CD45">
    <cfRule type="containsErrors" dxfId="2042" priority="2675">
      <formula>ISERROR(CD33)</formula>
    </cfRule>
  </conditionalFormatting>
  <conditionalFormatting sqref="CO33:CO45">
    <cfRule type="containsErrors" dxfId="2041" priority="2674">
      <formula>ISERROR(CO33)</formula>
    </cfRule>
  </conditionalFormatting>
  <conditionalFormatting sqref="CO33:CO45">
    <cfRule type="containsErrors" dxfId="2040" priority="2673">
      <formula>ISERROR(CO33)</formula>
    </cfRule>
  </conditionalFormatting>
  <conditionalFormatting sqref="CD33:CD45">
    <cfRule type="containsErrors" dxfId="2039" priority="2672">
      <formula>ISERROR(CD33)</formula>
    </cfRule>
  </conditionalFormatting>
  <conditionalFormatting sqref="CO33:CO45">
    <cfRule type="containsErrors" dxfId="2038" priority="2671">
      <formula>ISERROR(CO33)</formula>
    </cfRule>
  </conditionalFormatting>
  <conditionalFormatting sqref="CZ33:CZ45">
    <cfRule type="containsErrors" dxfId="2037" priority="2670">
      <formula>ISERROR(CZ33)</formula>
    </cfRule>
  </conditionalFormatting>
  <conditionalFormatting sqref="BG34:BG46">
    <cfRule type="containsErrors" dxfId="2036" priority="2668">
      <formula>ISERROR(BG34)</formula>
    </cfRule>
  </conditionalFormatting>
  <conditionalFormatting sqref="P31">
    <cfRule type="containsErrors" dxfId="2035" priority="2667">
      <formula>ISERROR(P31)</formula>
    </cfRule>
  </conditionalFormatting>
  <conditionalFormatting sqref="AG31">
    <cfRule type="containsErrors" dxfId="2034" priority="2666">
      <formula>ISERROR(AG31)</formula>
    </cfRule>
  </conditionalFormatting>
  <conditionalFormatting sqref="AR31">
    <cfRule type="containsErrors" dxfId="2033" priority="2665">
      <formula>ISERROR(AR31)</formula>
    </cfRule>
  </conditionalFormatting>
  <conditionalFormatting sqref="BC31">
    <cfRule type="containsErrors" dxfId="2032" priority="2664">
      <formula>ISERROR(BC31)</formula>
    </cfRule>
  </conditionalFormatting>
  <conditionalFormatting sqref="BS48">
    <cfRule type="containsErrors" dxfId="2031" priority="2663">
      <formula>ISERROR(BS48)</formula>
    </cfRule>
  </conditionalFormatting>
  <conditionalFormatting sqref="CL31">
    <cfRule type="containsErrors" dxfId="2030" priority="2661">
      <formula>ISERROR(CL31)</formula>
    </cfRule>
  </conditionalFormatting>
  <conditionalFormatting sqref="CA31">
    <cfRule type="containsErrors" dxfId="2029" priority="2662">
      <formula>ISERROR(CA31)</formula>
    </cfRule>
  </conditionalFormatting>
  <conditionalFormatting sqref="DF33:DG45">
    <cfRule type="containsErrors" dxfId="2028" priority="2651">
      <formula>ISERROR(DF33)</formula>
    </cfRule>
  </conditionalFormatting>
  <conditionalFormatting sqref="CW31">
    <cfRule type="containsErrors" dxfId="2027" priority="2660">
      <formula>ISERROR(CW31)</formula>
    </cfRule>
  </conditionalFormatting>
  <conditionalFormatting sqref="DH31">
    <cfRule type="containsErrors" dxfId="2026" priority="2659">
      <formula>ISERROR(DH31)</formula>
    </cfRule>
  </conditionalFormatting>
  <conditionalFormatting sqref="CA33:CA45 BU33:BX45">
    <cfRule type="containsErrors" dxfId="2025" priority="2658">
      <formula>ISERROR(BU33)</formula>
    </cfRule>
  </conditionalFormatting>
  <conditionalFormatting sqref="BY33:BZ45">
    <cfRule type="containsErrors" dxfId="2024" priority="2657">
      <formula>ISERROR(BY33)</formula>
    </cfRule>
  </conditionalFormatting>
  <conditionalFormatting sqref="DH33:DH45 DB33:DE45">
    <cfRule type="containsErrors" dxfId="2023" priority="2652">
      <formula>ISERROR(DB33)</formula>
    </cfRule>
  </conditionalFormatting>
  <conditionalFormatting sqref="CL33:CL45 CF33:CI45">
    <cfRule type="containsErrors" dxfId="2022" priority="2656">
      <formula>ISERROR(CF33)</formula>
    </cfRule>
  </conditionalFormatting>
  <conditionalFormatting sqref="CJ33:CK45">
    <cfRule type="containsErrors" dxfId="2021" priority="2655">
      <formula>ISERROR(CJ33)</formula>
    </cfRule>
  </conditionalFormatting>
  <conditionalFormatting sqref="CW33:CW45 CQ33:CT45">
    <cfRule type="containsErrors" dxfId="2020" priority="2654">
      <formula>ISERROR(CQ33)</formula>
    </cfRule>
  </conditionalFormatting>
  <conditionalFormatting sqref="CU33:CV45">
    <cfRule type="containsErrors" dxfId="2019" priority="2653">
      <formula>ISERROR(CU33)</formula>
    </cfRule>
  </conditionalFormatting>
  <conditionalFormatting sqref="CD47:CD54">
    <cfRule type="containsErrors" dxfId="2018" priority="2650">
      <formula>ISERROR(CD47)</formula>
    </cfRule>
  </conditionalFormatting>
  <conditionalFormatting sqref="CO47:CO54">
    <cfRule type="containsErrors" dxfId="2017" priority="2649">
      <formula>ISERROR(CO47)</formula>
    </cfRule>
  </conditionalFormatting>
  <conditionalFormatting sqref="CZ47:CZ54">
    <cfRule type="containsErrors" dxfId="2016" priority="2648">
      <formula>ISERROR(CZ47)</formula>
    </cfRule>
  </conditionalFormatting>
  <conditionalFormatting sqref="Z25">
    <cfRule type="containsErrors" dxfId="2015" priority="2647">
      <formula>ISERROR(Z25)</formula>
    </cfRule>
  </conditionalFormatting>
  <conditionalFormatting sqref="AK25">
    <cfRule type="containsErrors" dxfId="2014" priority="2646">
      <formula>ISERROR(AK25)</formula>
    </cfRule>
  </conditionalFormatting>
  <conditionalFormatting sqref="AV25">
    <cfRule type="containsErrors" dxfId="2013" priority="2645">
      <formula>ISERROR(AV25)</formula>
    </cfRule>
  </conditionalFormatting>
  <conditionalFormatting sqref="BT22:CA24 CD22:CL24 CO22:CW24 CZ22:DA24 BU25:CA25 CD25 CF25:CL25 CO25 CQ25:CW25 CZ25">
    <cfRule type="containsErrors" dxfId="2012" priority="2643">
      <formula>ISERROR(BT22)</formula>
    </cfRule>
  </conditionalFormatting>
  <conditionalFormatting sqref="CZ74:CZ82">
    <cfRule type="containsErrors" dxfId="2011" priority="2598">
      <formula>ISERROR(CZ74)</formula>
    </cfRule>
  </conditionalFormatting>
  <conditionalFormatting sqref="T74:U74">
    <cfRule type="containsErrors" dxfId="2010" priority="2636">
      <formula>ISERROR(T74)</formula>
    </cfRule>
  </conditionalFormatting>
  <conditionalFormatting sqref="BP58:BQ58 BS73:BT73 BP75 BP73:BQ74 BT75 BS58:BT58">
    <cfRule type="containsErrors" dxfId="2009" priority="2635">
      <formula>ISERROR(BP58)</formula>
    </cfRule>
  </conditionalFormatting>
  <conditionalFormatting sqref="Z74 Z75:AA75">
    <cfRule type="containsErrors" dxfId="2008" priority="2633">
      <formula>ISERROR(Z74)</formula>
    </cfRule>
  </conditionalFormatting>
  <conditionalFormatting sqref="BO77:BQ78 E75 G59:J59 K73:L73 BC60:BC72 AR60:AR72 AA77:AH80 AL77:AS80 AW77:BC80 J76:L76 BU76:CA82 CQ76:CW80 DB76:DH80 CF76:CL82 BP59:BQ73 AG60:AG72 AA60:AD72 B73 BJ75:BQ75 BN76:BQ76 O82:P82 N60:N72 Y59:AH59 Y81:AH82 Y73:AH76 Y60:Y72 Y77:Y80 AJ81:AS82 AJ59:AS59 AJ73:AS76 AJ60:AO72 AJ77:AJ80 AU59:BC59 AU81:BC82 AU73:BC76 AU77:AU80 AU60:AZ72 BE74:BQ74 BE73:BG73 BE75:BF75 BE76:BL78 BE79:BQ82 BE59:BF72 BS59:CA75 BS76:BS82 CD59:CL75 CD76:CD82 CO59:CW75 CO81:CW82 CO76:CO80 CZ81:DH82 CZ59:DH75 CZ76:CZ80">
    <cfRule type="containsErrors" dxfId="2007" priority="2632">
      <formula>ISERROR(B59)</formula>
    </cfRule>
  </conditionalFormatting>
  <conditionalFormatting sqref="CD60:CD72">
    <cfRule type="containsErrors" dxfId="2006" priority="2619">
      <formula>ISERROR(CD60)</formula>
    </cfRule>
  </conditionalFormatting>
  <conditionalFormatting sqref="BP79 CQ73 CP75:CQ75 CP74 BP76 BS78:BS80 BS74:BT74 CO59:CQ59 CO58:CP58 DA75:DB75 DA74 BS59:BT72 CD58:CE73 CO60:CP72 CZ58:DA73">
    <cfRule type="containsErrors" dxfId="2005" priority="2631">
      <formula>ISERROR(BP58)</formula>
    </cfRule>
  </conditionalFormatting>
  <conditionalFormatting sqref="BS60:BS72">
    <cfRule type="containsErrors" dxfId="2004" priority="2630">
      <formula>ISERROR(BS60)</formula>
    </cfRule>
  </conditionalFormatting>
  <conditionalFormatting sqref="CD60:CD72">
    <cfRule type="containsErrors" dxfId="2003" priority="2629">
      <formula>ISERROR(CD60)</formula>
    </cfRule>
  </conditionalFormatting>
  <conditionalFormatting sqref="CO60:CO72">
    <cfRule type="containsErrors" dxfId="2002" priority="2628">
      <formula>ISERROR(CO60)</formula>
    </cfRule>
  </conditionalFormatting>
  <conditionalFormatting sqref="CZ60:CZ72">
    <cfRule type="containsErrors" dxfId="2001" priority="2627">
      <formula>ISERROR(CZ60)</formula>
    </cfRule>
  </conditionalFormatting>
  <conditionalFormatting sqref="CE74 CE75:CF75">
    <cfRule type="containsErrors" dxfId="2000" priority="2626">
      <formula>ISERROR(CE74)</formula>
    </cfRule>
  </conditionalFormatting>
  <conditionalFormatting sqref="CD60:CD72">
    <cfRule type="containsErrors" dxfId="1999" priority="2625">
      <formula>ISERROR(CD60)</formula>
    </cfRule>
  </conditionalFormatting>
  <conditionalFormatting sqref="CO60:CO72">
    <cfRule type="containsErrors" dxfId="1998" priority="2624">
      <formula>ISERROR(CO60)</formula>
    </cfRule>
  </conditionalFormatting>
  <conditionalFormatting sqref="CO60:CO72">
    <cfRule type="containsErrors" dxfId="1997" priority="2623">
      <formula>ISERROR(CO60)</formula>
    </cfRule>
  </conditionalFormatting>
  <conditionalFormatting sqref="CD60:CD72">
    <cfRule type="containsErrors" dxfId="1996" priority="2622">
      <formula>ISERROR(CD60)</formula>
    </cfRule>
  </conditionalFormatting>
  <conditionalFormatting sqref="CO60:CO72">
    <cfRule type="containsErrors" dxfId="1995" priority="2621">
      <formula>ISERROR(CO60)</formula>
    </cfRule>
  </conditionalFormatting>
  <conditionalFormatting sqref="CZ60:CZ72">
    <cfRule type="containsErrors" dxfId="1994" priority="2620">
      <formula>ISERROR(CZ60)</formula>
    </cfRule>
  </conditionalFormatting>
  <conditionalFormatting sqref="BG73">
    <cfRule type="containsErrors" dxfId="1993" priority="2618">
      <formula>ISERROR(BG73)</formula>
    </cfRule>
  </conditionalFormatting>
  <conditionalFormatting sqref="P58">
    <cfRule type="containsErrors" dxfId="1992" priority="2617">
      <formula>ISERROR(P58)</formula>
    </cfRule>
  </conditionalFormatting>
  <conditionalFormatting sqref="AG58">
    <cfRule type="containsErrors" dxfId="1991" priority="2616">
      <formula>ISERROR(AG58)</formula>
    </cfRule>
  </conditionalFormatting>
  <conditionalFormatting sqref="AR58">
    <cfRule type="containsErrors" dxfId="1990" priority="2615">
      <formula>ISERROR(AR58)</formula>
    </cfRule>
  </conditionalFormatting>
  <conditionalFormatting sqref="BC58">
    <cfRule type="containsErrors" dxfId="1989" priority="2614">
      <formula>ISERROR(BC58)</formula>
    </cfRule>
  </conditionalFormatting>
  <conditionalFormatting sqref="BS75">
    <cfRule type="containsErrors" dxfId="1988" priority="2613">
      <formula>ISERROR(BS75)</formula>
    </cfRule>
  </conditionalFormatting>
  <conditionalFormatting sqref="CL58">
    <cfRule type="containsErrors" dxfId="1987" priority="2611">
      <formula>ISERROR(CL58)</formula>
    </cfRule>
  </conditionalFormatting>
  <conditionalFormatting sqref="CA58">
    <cfRule type="containsErrors" dxfId="1986" priority="2612">
      <formula>ISERROR(CA58)</formula>
    </cfRule>
  </conditionalFormatting>
  <conditionalFormatting sqref="DF60:DG72">
    <cfRule type="containsErrors" dxfId="1985" priority="2601">
      <formula>ISERROR(DF60)</formula>
    </cfRule>
  </conditionalFormatting>
  <conditionalFormatting sqref="CW58">
    <cfRule type="containsErrors" dxfId="1984" priority="2610">
      <formula>ISERROR(CW58)</formula>
    </cfRule>
  </conditionalFormatting>
  <conditionalFormatting sqref="DH58">
    <cfRule type="containsErrors" dxfId="1983" priority="2609">
      <formula>ISERROR(DH58)</formula>
    </cfRule>
  </conditionalFormatting>
  <conditionalFormatting sqref="CA60:CA72 BU60:BX72">
    <cfRule type="containsErrors" dxfId="1982" priority="2608">
      <formula>ISERROR(BU60)</formula>
    </cfRule>
  </conditionalFormatting>
  <conditionalFormatting sqref="BY60:BZ72">
    <cfRule type="containsErrors" dxfId="1981" priority="2607">
      <formula>ISERROR(BY60)</formula>
    </cfRule>
  </conditionalFormatting>
  <conditionalFormatting sqref="DH60:DH72 DB60:DE72">
    <cfRule type="containsErrors" dxfId="1980" priority="2602">
      <formula>ISERROR(DB60)</formula>
    </cfRule>
  </conditionalFormatting>
  <conditionalFormatting sqref="CL60:CL72 CF60:CI72">
    <cfRule type="containsErrors" dxfId="1979" priority="2606">
      <formula>ISERROR(CF60)</formula>
    </cfRule>
  </conditionalFormatting>
  <conditionalFormatting sqref="CJ60:CK72">
    <cfRule type="containsErrors" dxfId="1978" priority="2605">
      <formula>ISERROR(CJ60)</formula>
    </cfRule>
  </conditionalFormatting>
  <conditionalFormatting sqref="CW60:CW72 CQ60:CT72">
    <cfRule type="containsErrors" dxfId="1977" priority="2604">
      <formula>ISERROR(CQ60)</formula>
    </cfRule>
  </conditionalFormatting>
  <conditionalFormatting sqref="CU60:CV72">
    <cfRule type="containsErrors" dxfId="1976" priority="2603">
      <formula>ISERROR(CU60)</formula>
    </cfRule>
  </conditionalFormatting>
  <conditionalFormatting sqref="CD74:CD82">
    <cfRule type="containsErrors" dxfId="1975" priority="2600">
      <formula>ISERROR(CD74)</formula>
    </cfRule>
  </conditionalFormatting>
  <conditionalFormatting sqref="CO74:CO82">
    <cfRule type="containsErrors" dxfId="1974" priority="2599">
      <formula>ISERROR(CO74)</formula>
    </cfRule>
  </conditionalFormatting>
  <conditionalFormatting sqref="O52">
    <cfRule type="containsErrors" dxfId="1973" priority="2597">
      <formula>ISERROR(O52)</formula>
    </cfRule>
  </conditionalFormatting>
  <conditionalFormatting sqref="O50:O52">
    <cfRule type="containsErrors" dxfId="1972" priority="2596">
      <formula>ISERROR(O50)</formula>
    </cfRule>
  </conditionalFormatting>
  <conditionalFormatting sqref="Z50">
    <cfRule type="containsErrors" dxfId="1971" priority="2589">
      <formula>ISERROR(Z50)</formula>
    </cfRule>
  </conditionalFormatting>
  <conditionalFormatting sqref="AK50">
    <cfRule type="containsErrors" dxfId="1970" priority="2588">
      <formula>ISERROR(AK50)</formula>
    </cfRule>
  </conditionalFormatting>
  <conditionalFormatting sqref="AV50">
    <cfRule type="containsErrors" dxfId="1969" priority="2587">
      <formula>ISERROR(AV50)</formula>
    </cfRule>
  </conditionalFormatting>
  <conditionalFormatting sqref="BK5:BK6">
    <cfRule type="containsErrors" dxfId="1968" priority="2580">
      <formula>ISERROR(BK5)</formula>
    </cfRule>
  </conditionalFormatting>
  <conditionalFormatting sqref="F32 F46">
    <cfRule type="containsErrors" dxfId="1967" priority="2579">
      <formula>ISERROR(F32)</formula>
    </cfRule>
  </conditionalFormatting>
  <conditionalFormatting sqref="F59">
    <cfRule type="containsErrors" dxfId="1966" priority="2578">
      <formula>ISERROR(F59)</formula>
    </cfRule>
  </conditionalFormatting>
  <conditionalFormatting sqref="BK32 BK46">
    <cfRule type="containsErrors" dxfId="1965" priority="2577">
      <formula>ISERROR(BK32)</formula>
    </cfRule>
  </conditionalFormatting>
  <conditionalFormatting sqref="BL46">
    <cfRule type="containsErrors" dxfId="1964" priority="2576">
      <formula>ISERROR(BL46)</formula>
    </cfRule>
  </conditionalFormatting>
  <conditionalFormatting sqref="BT50:BT51">
    <cfRule type="containsErrors" dxfId="1963" priority="2568">
      <formula>ISERROR(BT50)</formula>
    </cfRule>
  </conditionalFormatting>
  <conditionalFormatting sqref="Z51">
    <cfRule type="containsErrors" dxfId="1962" priority="2535">
      <formula>ISERROR(Z51)</formula>
    </cfRule>
  </conditionalFormatting>
  <conditionalFormatting sqref="AV51">
    <cfRule type="containsErrors" dxfId="1961" priority="2533">
      <formula>ISERROR(AV51)</formula>
    </cfRule>
  </conditionalFormatting>
  <conditionalFormatting sqref="AE60:AF72">
    <cfRule type="containsErrors" dxfId="1960" priority="2554">
      <formula>ISERROR(AE60)</formula>
    </cfRule>
  </conditionalFormatting>
  <conditionalFormatting sqref="AP60:AQ72">
    <cfRule type="containsErrors" dxfId="1959" priority="2553">
      <formula>ISERROR(AP60)</formula>
    </cfRule>
  </conditionalFormatting>
  <conditionalFormatting sqref="BA60:BB72">
    <cfRule type="containsErrors" dxfId="1958" priority="2552">
      <formula>ISERROR(BA60)</formula>
    </cfRule>
  </conditionalFormatting>
  <conditionalFormatting sqref="L78">
    <cfRule type="containsErrors" dxfId="1957" priority="2551">
      <formula>ISERROR(L78)</formula>
    </cfRule>
  </conditionalFormatting>
  <conditionalFormatting sqref="N80">
    <cfRule type="containsErrors" dxfId="1956" priority="2550">
      <formula>ISERROR(N80)</formula>
    </cfRule>
  </conditionalFormatting>
  <conditionalFormatting sqref="DA76">
    <cfRule type="containsErrors" dxfId="1955" priority="2486">
      <formula>ISERROR(DA76)</formula>
    </cfRule>
  </conditionalFormatting>
  <conditionalFormatting sqref="CE51">
    <cfRule type="containsErrors" dxfId="1954" priority="2485">
      <formula>ISERROR(CE51)</formula>
    </cfRule>
  </conditionalFormatting>
  <conditionalFormatting sqref="CP51">
    <cfRule type="containsErrors" dxfId="1953" priority="2484">
      <formula>ISERROR(CP51)</formula>
    </cfRule>
  </conditionalFormatting>
  <conditionalFormatting sqref="N79">
    <cfRule type="containsErrors" dxfId="1952" priority="2539">
      <formula>ISERROR(N79)</formula>
    </cfRule>
  </conditionalFormatting>
  <conditionalFormatting sqref="CP76">
    <cfRule type="containsErrors" dxfId="1951" priority="2487">
      <formula>ISERROR(CP76)</formula>
    </cfRule>
  </conditionalFormatting>
  <conditionalFormatting sqref="AK51">
    <cfRule type="containsErrors" dxfId="1950" priority="2534">
      <formula>ISERROR(AK51)</formula>
    </cfRule>
  </conditionalFormatting>
  <conditionalFormatting sqref="CP80">
    <cfRule type="containsErrors" dxfId="1949" priority="2478">
      <formula>ISERROR(CP80)</formula>
    </cfRule>
  </conditionalFormatting>
  <conditionalFormatting sqref="CE80">
    <cfRule type="containsErrors" dxfId="1948" priority="2481">
      <formula>ISERROR(CE80)</formula>
    </cfRule>
  </conditionalFormatting>
  <conditionalFormatting sqref="DA80">
    <cfRule type="containsErrors" dxfId="1947" priority="2474">
      <formula>ISERROR(DA80)</formula>
    </cfRule>
  </conditionalFormatting>
  <conditionalFormatting sqref="Z80">
    <cfRule type="containsErrors" dxfId="1946" priority="2523">
      <formula>ISERROR(Z80)</formula>
    </cfRule>
  </conditionalFormatting>
  <conditionalFormatting sqref="Z79">
    <cfRule type="containsErrors" dxfId="1945" priority="2522">
      <formula>ISERROR(Z79)</formula>
    </cfRule>
  </conditionalFormatting>
  <conditionalFormatting sqref="Z78:Z79">
    <cfRule type="containsErrors" dxfId="1944" priority="2521">
      <formula>ISERROR(Z78)</formula>
    </cfRule>
  </conditionalFormatting>
  <conditionalFormatting sqref="Z77">
    <cfRule type="containsErrors" dxfId="1943" priority="2520">
      <formula>ISERROR(Z77)</formula>
    </cfRule>
  </conditionalFormatting>
  <conditionalFormatting sqref="AK80">
    <cfRule type="containsErrors" dxfId="1942" priority="2519">
      <formula>ISERROR(AK80)</formula>
    </cfRule>
  </conditionalFormatting>
  <conditionalFormatting sqref="AK79">
    <cfRule type="containsErrors" dxfId="1941" priority="2518">
      <formula>ISERROR(AK79)</formula>
    </cfRule>
  </conditionalFormatting>
  <conditionalFormatting sqref="AK78:AK79">
    <cfRule type="containsErrors" dxfId="1940" priority="2517">
      <formula>ISERROR(AK78)</formula>
    </cfRule>
  </conditionalFormatting>
  <conditionalFormatting sqref="AK77">
    <cfRule type="containsErrors" dxfId="1939" priority="2516">
      <formula>ISERROR(AK77)</formula>
    </cfRule>
  </conditionalFormatting>
  <conditionalFormatting sqref="AV80">
    <cfRule type="containsErrors" dxfId="1938" priority="2515">
      <formula>ISERROR(AV80)</formula>
    </cfRule>
  </conditionalFormatting>
  <conditionalFormatting sqref="AV79">
    <cfRule type="containsErrors" dxfId="1937" priority="2514">
      <formula>ISERROR(AV79)</formula>
    </cfRule>
  </conditionalFormatting>
  <conditionalFormatting sqref="AV78:AV79">
    <cfRule type="containsErrors" dxfId="1936" priority="2513">
      <formula>ISERROR(AV78)</formula>
    </cfRule>
  </conditionalFormatting>
  <conditionalFormatting sqref="AV77">
    <cfRule type="containsErrors" dxfId="1935" priority="2512">
      <formula>ISERROR(AV77)</formula>
    </cfRule>
  </conditionalFormatting>
  <conditionalFormatting sqref="BL59:BO59">
    <cfRule type="containsErrors" dxfId="1934" priority="2511">
      <formula>ISERROR(BL59)</formula>
    </cfRule>
  </conditionalFormatting>
  <conditionalFormatting sqref="BL59:BO59 BG59:BJ59 BG60:BG72">
    <cfRule type="containsErrors" dxfId="1933" priority="2510">
      <formula>ISERROR(BG59)</formula>
    </cfRule>
  </conditionalFormatting>
  <conditionalFormatting sqref="BG61:BG72">
    <cfRule type="containsErrors" dxfId="1932" priority="2509">
      <formula>ISERROR(BG61)</formula>
    </cfRule>
  </conditionalFormatting>
  <conditionalFormatting sqref="BK59">
    <cfRule type="containsErrors" dxfId="1931" priority="2508">
      <formula>ISERROR(BK59)</formula>
    </cfRule>
  </conditionalFormatting>
  <conditionalFormatting sqref="BT76 BT81:BT82">
    <cfRule type="containsErrors" dxfId="1930" priority="2505">
      <formula>ISERROR(BT76)</formula>
    </cfRule>
  </conditionalFormatting>
  <conditionalFormatting sqref="BT80">
    <cfRule type="containsErrors" dxfId="1929" priority="2504">
      <formula>ISERROR(BT80)</formula>
    </cfRule>
  </conditionalFormatting>
  <conditionalFormatting sqref="BT80">
    <cfRule type="containsErrors" dxfId="1928" priority="2503">
      <formula>ISERROR(BT80)</formula>
    </cfRule>
  </conditionalFormatting>
  <conditionalFormatting sqref="BT79">
    <cfRule type="containsErrors" dxfId="1927" priority="2502">
      <formula>ISERROR(BT79)</formula>
    </cfRule>
  </conditionalFormatting>
  <conditionalFormatting sqref="BT77:BT79">
    <cfRule type="containsErrors" dxfId="1926" priority="2501">
      <formula>ISERROR(BT77)</formula>
    </cfRule>
  </conditionalFormatting>
  <conditionalFormatting sqref="CE50">
    <cfRule type="containsErrors" dxfId="1925" priority="2497">
      <formula>ISERROR(CE50)</formula>
    </cfRule>
  </conditionalFormatting>
  <conditionalFormatting sqref="CP50">
    <cfRule type="containsErrors" dxfId="1924" priority="2493">
      <formula>ISERROR(CP50)</formula>
    </cfRule>
  </conditionalFormatting>
  <conditionalFormatting sqref="DA50">
    <cfRule type="containsErrors" dxfId="1923" priority="2489">
      <formula>ISERROR(DA50)</formula>
    </cfRule>
  </conditionalFormatting>
  <conditionalFormatting sqref="CE76">
    <cfRule type="containsErrors" dxfId="1922" priority="2488">
      <formula>ISERROR(CE76)</formula>
    </cfRule>
  </conditionalFormatting>
  <conditionalFormatting sqref="DA51">
    <cfRule type="containsErrors" dxfId="1921" priority="2483">
      <formula>ISERROR(DA51)</formula>
    </cfRule>
  </conditionalFormatting>
  <conditionalFormatting sqref="CE80">
    <cfRule type="containsErrors" dxfId="1920" priority="2482">
      <formula>ISERROR(CE80)</formula>
    </cfRule>
  </conditionalFormatting>
  <conditionalFormatting sqref="CE79">
    <cfRule type="containsErrors" dxfId="1919" priority="2480">
      <formula>ISERROR(CE79)</formula>
    </cfRule>
  </conditionalFormatting>
  <conditionalFormatting sqref="CE77:CE79">
    <cfRule type="containsErrors" dxfId="1918" priority="2479">
      <formula>ISERROR(CE77)</formula>
    </cfRule>
  </conditionalFormatting>
  <conditionalFormatting sqref="CP80">
    <cfRule type="containsErrors" dxfId="1917" priority="2477">
      <formula>ISERROR(CP80)</formula>
    </cfRule>
  </conditionalFormatting>
  <conditionalFormatting sqref="CP79">
    <cfRule type="containsErrors" dxfId="1916" priority="2476">
      <formula>ISERROR(CP79)</formula>
    </cfRule>
  </conditionalFormatting>
  <conditionalFormatting sqref="CP77:CP79">
    <cfRule type="containsErrors" dxfId="1915" priority="2475">
      <formula>ISERROR(CP77)</formula>
    </cfRule>
  </conditionalFormatting>
  <conditionalFormatting sqref="DA80">
    <cfRule type="containsErrors" dxfId="1914" priority="2473">
      <formula>ISERROR(DA80)</formula>
    </cfRule>
  </conditionalFormatting>
  <conditionalFormatting sqref="DA79">
    <cfRule type="containsErrors" dxfId="1913" priority="2472">
      <formula>ISERROR(DA79)</formula>
    </cfRule>
  </conditionalFormatting>
  <conditionalFormatting sqref="DA77:DA79">
    <cfRule type="containsErrors" dxfId="1912" priority="2471">
      <formula>ISERROR(DA77)</formula>
    </cfRule>
  </conditionalFormatting>
  <conditionalFormatting sqref="CE81:CE82">
    <cfRule type="containsErrors" dxfId="1911" priority="2470">
      <formula>ISERROR(CE81)</formula>
    </cfRule>
  </conditionalFormatting>
  <conditionalFormatting sqref="Z60:Z72">
    <cfRule type="containsErrors" dxfId="1910" priority="2469">
      <formula>ISERROR(Z60)</formula>
    </cfRule>
  </conditionalFormatting>
  <conditionalFormatting sqref="O60:O72">
    <cfRule type="containsErrors" dxfId="1909" priority="2468">
      <formula>ISERROR(O60)</formula>
    </cfRule>
  </conditionalFormatting>
  <conditionalFormatting sqref="L75">
    <cfRule type="containsErrors" dxfId="1908" priority="2465">
      <formula>ISERROR(L75)</formula>
    </cfRule>
  </conditionalFormatting>
  <conditionalFormatting sqref="L75">
    <cfRule type="containsErrors" dxfId="1907" priority="2466">
      <formula>ISERROR(L75)</formula>
    </cfRule>
  </conditionalFormatting>
  <conditionalFormatting sqref="BM73:BO73 BH73:BJ73 BH60:BJ60 BI61:BJ72">
    <cfRule type="containsErrors" dxfId="1906" priority="2443">
      <formula>ISERROR(BH60)</formula>
    </cfRule>
  </conditionalFormatting>
  <conditionalFormatting sqref="B75">
    <cfRule type="containsErrors" dxfId="1905" priority="2446">
      <formula>ISERROR(B75)</formula>
    </cfRule>
  </conditionalFormatting>
  <conditionalFormatting sqref="F73">
    <cfRule type="containsErrors" dxfId="1904" priority="2451">
      <formula>ISERROR(F73)</formula>
    </cfRule>
  </conditionalFormatting>
  <conditionalFormatting sqref="G73:J73">
    <cfRule type="containsErrors" dxfId="1903" priority="2452">
      <formula>ISERROR(G73)</formula>
    </cfRule>
  </conditionalFormatting>
  <conditionalFormatting sqref="BK73">
    <cfRule type="containsErrors" dxfId="1902" priority="2442">
      <formula>ISERROR(BK73)</formula>
    </cfRule>
  </conditionalFormatting>
  <conditionalFormatting sqref="BL73">
    <cfRule type="containsErrors" dxfId="1901" priority="2441">
      <formula>ISERROR(BL73)</formula>
    </cfRule>
  </conditionalFormatting>
  <conditionalFormatting sqref="BH61:BH72">
    <cfRule type="containsErrors" dxfId="1900" priority="2438">
      <formula>ISERROR(BH61)</formula>
    </cfRule>
  </conditionalFormatting>
  <conditionalFormatting sqref="BL60:BO72">
    <cfRule type="containsErrors" dxfId="1899" priority="2440">
      <formula>ISERROR(BL60)</formula>
    </cfRule>
  </conditionalFormatting>
  <conditionalFormatting sqref="BK60:BK72">
    <cfRule type="containsErrors" dxfId="1898" priority="2439">
      <formula>ISERROR(BK60)</formula>
    </cfRule>
  </conditionalFormatting>
  <conditionalFormatting sqref="BG75">
    <cfRule type="containsErrors" dxfId="1897" priority="2437">
      <formula>ISERROR(BG75)</formula>
    </cfRule>
  </conditionalFormatting>
  <conditionalFormatting sqref="BH75:BI75">
    <cfRule type="containsErrors" dxfId="1896" priority="2436">
      <formula>ISERROR(BH75)</formula>
    </cfRule>
  </conditionalFormatting>
  <conditionalFormatting sqref="AG6:AG18">
    <cfRule type="containsErrors" dxfId="1895" priority="2435">
      <formula>ISERROR(AG6)</formula>
    </cfRule>
  </conditionalFormatting>
  <conditionalFormatting sqref="BM49">
    <cfRule type="containsErrors" dxfId="1894" priority="2434">
      <formula>ISERROR(BM49)</formula>
    </cfRule>
  </conditionalFormatting>
  <conditionalFormatting sqref="BM76">
    <cfRule type="containsErrors" dxfId="1893" priority="2433">
      <formula>ISERROR(BM76)</formula>
    </cfRule>
  </conditionalFormatting>
  <conditionalFormatting sqref="M32 M46:M54">
    <cfRule type="containsErrors" dxfId="1892" priority="2432">
      <formula>ISERROR(M32)</formula>
    </cfRule>
  </conditionalFormatting>
  <conditionalFormatting sqref="M59 M73">
    <cfRule type="containsErrors" dxfId="1891" priority="2431">
      <formula>ISERROR(M59)</formula>
    </cfRule>
  </conditionalFormatting>
  <conditionalFormatting sqref="X5 X19:X27">
    <cfRule type="containsErrors" dxfId="1890" priority="2430">
      <formula>ISERROR(X5)</formula>
    </cfRule>
  </conditionalFormatting>
  <conditionalFormatting sqref="X32 X46:X54">
    <cfRule type="containsErrors" dxfId="1889" priority="2429">
      <formula>ISERROR(X32)</formula>
    </cfRule>
  </conditionalFormatting>
  <conditionalFormatting sqref="X59 X73:X82">
    <cfRule type="containsErrors" dxfId="1888" priority="2428">
      <formula>ISERROR(X59)</formula>
    </cfRule>
  </conditionalFormatting>
  <conditionalFormatting sqref="AI5 AI19:AI27">
    <cfRule type="containsErrors" dxfId="1887" priority="2427">
      <formula>ISERROR(AI5)</formula>
    </cfRule>
  </conditionalFormatting>
  <conditionalFormatting sqref="AI32 AI46:AI54">
    <cfRule type="containsErrors" dxfId="1886" priority="2426">
      <formula>ISERROR(AI32)</formula>
    </cfRule>
  </conditionalFormatting>
  <conditionalFormatting sqref="AI59 AI73:AI82">
    <cfRule type="containsErrors" dxfId="1885" priority="2425">
      <formula>ISERROR(AI59)</formula>
    </cfRule>
  </conditionalFormatting>
  <conditionalFormatting sqref="AT5 AT19:AT27">
    <cfRule type="containsErrors" dxfId="1884" priority="2424">
      <formula>ISERROR(AT5)</formula>
    </cfRule>
  </conditionalFormatting>
  <conditionalFormatting sqref="AT32 AT46:AT54">
    <cfRule type="containsErrors" dxfId="1883" priority="2423">
      <formula>ISERROR(AT32)</formula>
    </cfRule>
  </conditionalFormatting>
  <conditionalFormatting sqref="AT59 AT73:AT82">
    <cfRule type="containsErrors" dxfId="1882" priority="2422">
      <formula>ISERROR(AT59)</formula>
    </cfRule>
  </conditionalFormatting>
  <conditionalFormatting sqref="Q31">
    <cfRule type="containsErrors" dxfId="1881" priority="2421">
      <formula>ISERROR(Q31)</formula>
    </cfRule>
  </conditionalFormatting>
  <conditionalFormatting sqref="Q58">
    <cfRule type="containsErrors" dxfId="1880" priority="2420">
      <formula>ISERROR(Q58)</formula>
    </cfRule>
  </conditionalFormatting>
  <conditionalFormatting sqref="AH5:AH27">
    <cfRule type="containsErrors" dxfId="1879" priority="2419">
      <formula>ISERROR(AH5)</formula>
    </cfRule>
  </conditionalFormatting>
  <conditionalFormatting sqref="AH4">
    <cfRule type="containsErrors" dxfId="1878" priority="2418">
      <formula>ISERROR(AH4)</formula>
    </cfRule>
  </conditionalFormatting>
  <conditionalFormatting sqref="AH32:AH54">
    <cfRule type="containsErrors" dxfId="1877" priority="2417">
      <formula>ISERROR(AH32)</formula>
    </cfRule>
  </conditionalFormatting>
  <conditionalFormatting sqref="AH31">
    <cfRule type="containsErrors" dxfId="1876" priority="2416">
      <formula>ISERROR(AH31)</formula>
    </cfRule>
  </conditionalFormatting>
  <conditionalFormatting sqref="AH58">
    <cfRule type="containsErrors" dxfId="1875" priority="2415">
      <formula>ISERROR(AH58)</formula>
    </cfRule>
  </conditionalFormatting>
  <conditionalFormatting sqref="AS5:AS27">
    <cfRule type="containsErrors" dxfId="1874" priority="2414">
      <formula>ISERROR(AS5)</formula>
    </cfRule>
  </conditionalFormatting>
  <conditionalFormatting sqref="AS4">
    <cfRule type="containsErrors" dxfId="1873" priority="2413">
      <formula>ISERROR(AS4)</formula>
    </cfRule>
  </conditionalFormatting>
  <conditionalFormatting sqref="AS32:AS54">
    <cfRule type="containsErrors" dxfId="1872" priority="2412">
      <formula>ISERROR(AS32)</formula>
    </cfRule>
  </conditionalFormatting>
  <conditionalFormatting sqref="AS31">
    <cfRule type="containsErrors" dxfId="1871" priority="2411">
      <formula>ISERROR(AS31)</formula>
    </cfRule>
  </conditionalFormatting>
  <conditionalFormatting sqref="AS58">
    <cfRule type="containsErrors" dxfId="1870" priority="2410">
      <formula>ISERROR(AS58)</formula>
    </cfRule>
  </conditionalFormatting>
  <conditionalFormatting sqref="BD59 BD73:BD82">
    <cfRule type="containsErrors" dxfId="1869" priority="2409">
      <formula>ISERROR(BD59)</formula>
    </cfRule>
  </conditionalFormatting>
  <conditionalFormatting sqref="BD5:BD27">
    <cfRule type="containsErrors" dxfId="1868" priority="2408">
      <formula>ISERROR(BD5)</formula>
    </cfRule>
  </conditionalFormatting>
  <conditionalFormatting sqref="BD4">
    <cfRule type="containsErrors" dxfId="1867" priority="2407">
      <formula>ISERROR(BD4)</formula>
    </cfRule>
  </conditionalFormatting>
  <conditionalFormatting sqref="BD32:BD54">
    <cfRule type="containsErrors" dxfId="1866" priority="2406">
      <formula>ISERROR(BD32)</formula>
    </cfRule>
  </conditionalFormatting>
  <conditionalFormatting sqref="BD31">
    <cfRule type="containsErrors" dxfId="1865" priority="2405">
      <formula>ISERROR(BD31)</formula>
    </cfRule>
  </conditionalFormatting>
  <conditionalFormatting sqref="BD58">
    <cfRule type="containsErrors" dxfId="1864" priority="2404">
      <formula>ISERROR(BD58)</formula>
    </cfRule>
  </conditionalFormatting>
  <conditionalFormatting sqref="BR5 BR19:BR27">
    <cfRule type="containsErrors" dxfId="1863" priority="2403">
      <formula>ISERROR(BR5)</formula>
    </cfRule>
  </conditionalFormatting>
  <conditionalFormatting sqref="BR32 BR46:BR54">
    <cfRule type="containsErrors" dxfId="1862" priority="2402">
      <formula>ISERROR(BR32)</formula>
    </cfRule>
  </conditionalFormatting>
  <conditionalFormatting sqref="BR59:BR82">
    <cfRule type="containsErrors" dxfId="1861" priority="2401">
      <formula>ISERROR(BR59)</formula>
    </cfRule>
  </conditionalFormatting>
  <conditionalFormatting sqref="CC5 CC19:CC27">
    <cfRule type="containsErrors" dxfId="1860" priority="2400">
      <formula>ISERROR(CC5)</formula>
    </cfRule>
  </conditionalFormatting>
  <conditionalFormatting sqref="CC32 CC46:CC54">
    <cfRule type="containsErrors" dxfId="1859" priority="2399">
      <formula>ISERROR(CC32)</formula>
    </cfRule>
  </conditionalFormatting>
  <conditionalFormatting sqref="CC59:CC82">
    <cfRule type="containsErrors" dxfId="1858" priority="2398">
      <formula>ISERROR(CC59)</formula>
    </cfRule>
  </conditionalFormatting>
  <conditionalFormatting sqref="CN5 CN19:CN27">
    <cfRule type="containsErrors" dxfId="1857" priority="2397">
      <formula>ISERROR(CN5)</formula>
    </cfRule>
  </conditionalFormatting>
  <conditionalFormatting sqref="CN32 CN46:CN54">
    <cfRule type="containsErrors" dxfId="1856" priority="2396">
      <formula>ISERROR(CN32)</formula>
    </cfRule>
  </conditionalFormatting>
  <conditionalFormatting sqref="CN59:CN82">
    <cfRule type="containsErrors" dxfId="1855" priority="2395">
      <formula>ISERROR(CN59)</formula>
    </cfRule>
  </conditionalFormatting>
  <conditionalFormatting sqref="CY5 CY19:CY27">
    <cfRule type="containsErrors" dxfId="1854" priority="2394">
      <formula>ISERROR(CY5)</formula>
    </cfRule>
  </conditionalFormatting>
  <conditionalFormatting sqref="CY32 CY46:CY54">
    <cfRule type="containsErrors" dxfId="1853" priority="2393">
      <formula>ISERROR(CY32)</formula>
    </cfRule>
  </conditionalFormatting>
  <conditionalFormatting sqref="CY59:CY82">
    <cfRule type="containsErrors" dxfId="1852" priority="2392">
      <formula>ISERROR(CY59)</formula>
    </cfRule>
  </conditionalFormatting>
  <conditionalFormatting sqref="CB5:CB27">
    <cfRule type="containsErrors" dxfId="1851" priority="2382">
      <formula>ISERROR(CB5)</formula>
    </cfRule>
  </conditionalFormatting>
  <conditionalFormatting sqref="CB4">
    <cfRule type="containsErrors" dxfId="1850" priority="2381">
      <formula>ISERROR(CB4)</formula>
    </cfRule>
  </conditionalFormatting>
  <conditionalFormatting sqref="CB32:CB54">
    <cfRule type="containsErrors" dxfId="1849" priority="2380">
      <formula>ISERROR(CB32)</formula>
    </cfRule>
  </conditionalFormatting>
  <conditionalFormatting sqref="CB59 CB73:CB82">
    <cfRule type="containsErrors" dxfId="1848" priority="2379">
      <formula>ISERROR(CB59)</formula>
    </cfRule>
  </conditionalFormatting>
  <conditionalFormatting sqref="CB31">
    <cfRule type="containsErrors" dxfId="1847" priority="2378">
      <formula>ISERROR(CB31)</formula>
    </cfRule>
  </conditionalFormatting>
  <conditionalFormatting sqref="CB58">
    <cfRule type="containsErrors" dxfId="1846" priority="2377">
      <formula>ISERROR(CB58)</formula>
    </cfRule>
  </conditionalFormatting>
  <conditionalFormatting sqref="CM5:CM27">
    <cfRule type="containsErrors" dxfId="1845" priority="2376">
      <formula>ISERROR(CM5)</formula>
    </cfRule>
  </conditionalFormatting>
  <conditionalFormatting sqref="CM4">
    <cfRule type="containsErrors" dxfId="1844" priority="2375">
      <formula>ISERROR(CM4)</formula>
    </cfRule>
  </conditionalFormatting>
  <conditionalFormatting sqref="CM32:CM54">
    <cfRule type="containsErrors" dxfId="1843" priority="2374">
      <formula>ISERROR(CM32)</formula>
    </cfRule>
  </conditionalFormatting>
  <conditionalFormatting sqref="CM59 CM73:CM82">
    <cfRule type="containsErrors" dxfId="1842" priority="2373">
      <formula>ISERROR(CM59)</formula>
    </cfRule>
  </conditionalFormatting>
  <conditionalFormatting sqref="CM31">
    <cfRule type="containsErrors" dxfId="1841" priority="2372">
      <formula>ISERROR(CM31)</formula>
    </cfRule>
  </conditionalFormatting>
  <conditionalFormatting sqref="CM58">
    <cfRule type="containsErrors" dxfId="1840" priority="2371">
      <formula>ISERROR(CM58)</formula>
    </cfRule>
  </conditionalFormatting>
  <conditionalFormatting sqref="CX5:CX27">
    <cfRule type="containsErrors" dxfId="1839" priority="2370">
      <formula>ISERROR(CX5)</formula>
    </cfRule>
  </conditionalFormatting>
  <conditionalFormatting sqref="CX4">
    <cfRule type="containsErrors" dxfId="1838" priority="2369">
      <formula>ISERROR(CX4)</formula>
    </cfRule>
  </conditionalFormatting>
  <conditionalFormatting sqref="CX32:CX54">
    <cfRule type="containsErrors" dxfId="1837" priority="2368">
      <formula>ISERROR(CX32)</formula>
    </cfRule>
  </conditionalFormatting>
  <conditionalFormatting sqref="CX59 CX73:CX82">
    <cfRule type="containsErrors" dxfId="1836" priority="2367">
      <formula>ISERROR(CX59)</formula>
    </cfRule>
  </conditionalFormatting>
  <conditionalFormatting sqref="CX31">
    <cfRule type="containsErrors" dxfId="1835" priority="2366">
      <formula>ISERROR(CX31)</formula>
    </cfRule>
  </conditionalFormatting>
  <conditionalFormatting sqref="CX58">
    <cfRule type="containsErrors" dxfId="1834" priority="2365">
      <formula>ISERROR(CX58)</formula>
    </cfRule>
  </conditionalFormatting>
  <conditionalFormatting sqref="DI5:DI27">
    <cfRule type="containsErrors" dxfId="1833" priority="2364">
      <formula>ISERROR(DI5)</formula>
    </cfRule>
  </conditionalFormatting>
  <conditionalFormatting sqref="DI4">
    <cfRule type="containsErrors" dxfId="1832" priority="2363">
      <formula>ISERROR(DI4)</formula>
    </cfRule>
  </conditionalFormatting>
  <conditionalFormatting sqref="DI32:DI54">
    <cfRule type="containsErrors" dxfId="1831" priority="2362">
      <formula>ISERROR(DI32)</formula>
    </cfRule>
  </conditionalFormatting>
  <conditionalFormatting sqref="DI59 DI73:DI82">
    <cfRule type="containsErrors" dxfId="1830" priority="2361">
      <formula>ISERROR(DI59)</formula>
    </cfRule>
  </conditionalFormatting>
  <conditionalFormatting sqref="DI31">
    <cfRule type="containsErrors" dxfId="1829" priority="2360">
      <formula>ISERROR(DI31)</formula>
    </cfRule>
  </conditionalFormatting>
  <conditionalFormatting sqref="DI58">
    <cfRule type="containsErrors" dxfId="1828" priority="2359">
      <formula>ISERROR(DI58)</formula>
    </cfRule>
  </conditionalFormatting>
  <conditionalFormatting sqref="P3">
    <cfRule type="containsErrors" dxfId="1827" priority="2358">
      <formula>ISERROR(P3)</formula>
    </cfRule>
  </conditionalFormatting>
  <conditionalFormatting sqref="AG3">
    <cfRule type="containsErrors" dxfId="1826" priority="2357">
      <formula>ISERROR(AG3)</formula>
    </cfRule>
  </conditionalFormatting>
  <conditionalFormatting sqref="AR3">
    <cfRule type="containsErrors" dxfId="1825" priority="2356">
      <formula>ISERROR(AR3)</formula>
    </cfRule>
  </conditionalFormatting>
  <conditionalFormatting sqref="BC3">
    <cfRule type="containsErrors" dxfId="1824" priority="2355">
      <formula>ISERROR(BC3)</formula>
    </cfRule>
  </conditionalFormatting>
  <conditionalFormatting sqref="P30">
    <cfRule type="containsErrors" dxfId="1823" priority="2354">
      <formula>ISERROR(P30)</formula>
    </cfRule>
  </conditionalFormatting>
  <conditionalFormatting sqref="M75">
    <cfRule type="containsErrors" dxfId="1822" priority="2353">
      <formula>ISERROR(M75)</formula>
    </cfRule>
  </conditionalFormatting>
  <conditionalFormatting sqref="AG30">
    <cfRule type="containsErrors" dxfId="1821" priority="2352">
      <formula>ISERROR(AG30)</formula>
    </cfRule>
  </conditionalFormatting>
  <conditionalFormatting sqref="AG57">
    <cfRule type="containsErrors" dxfId="1820" priority="2351">
      <formula>ISERROR(AG57)</formula>
    </cfRule>
  </conditionalFormatting>
  <conditionalFormatting sqref="AR30">
    <cfRule type="containsErrors" dxfId="1819" priority="2350">
      <formula>ISERROR(AR30)</formula>
    </cfRule>
  </conditionalFormatting>
  <conditionalFormatting sqref="AR57">
    <cfRule type="containsErrors" dxfId="1818" priority="2349">
      <formula>ISERROR(AR57)</formula>
    </cfRule>
  </conditionalFormatting>
  <conditionalFormatting sqref="AI60:AI72">
    <cfRule type="containsErrors" dxfId="1817" priority="2336">
      <formula>ISERROR(AI60)</formula>
    </cfRule>
  </conditionalFormatting>
  <conditionalFormatting sqref="BC30">
    <cfRule type="containsErrors" dxfId="1816" priority="2346">
      <formula>ISERROR(BC30)</formula>
    </cfRule>
  </conditionalFormatting>
  <conditionalFormatting sqref="BC57">
    <cfRule type="containsErrors" dxfId="1815" priority="2345">
      <formula>ISERROR(BC57)</formula>
    </cfRule>
  </conditionalFormatting>
  <conditionalFormatting sqref="X6:X18">
    <cfRule type="containsErrors" dxfId="1814" priority="2343">
      <formula>ISERROR(X6)</formula>
    </cfRule>
  </conditionalFormatting>
  <conditionalFormatting sqref="AI6:AI18">
    <cfRule type="containsErrors" dxfId="1813" priority="2342">
      <formula>ISERROR(AI6)</formula>
    </cfRule>
  </conditionalFormatting>
  <conditionalFormatting sqref="AT6:AT18">
    <cfRule type="containsErrors" dxfId="1812" priority="2341">
      <formula>ISERROR(AT6)</formula>
    </cfRule>
  </conditionalFormatting>
  <conditionalFormatting sqref="M33:M45">
    <cfRule type="containsErrors" dxfId="1811" priority="2340">
      <formula>ISERROR(M33)</formula>
    </cfRule>
  </conditionalFormatting>
  <conditionalFormatting sqref="X33:X45">
    <cfRule type="containsErrors" dxfId="1810" priority="2339">
      <formula>ISERROR(X33)</formula>
    </cfRule>
  </conditionalFormatting>
  <conditionalFormatting sqref="M60:M72">
    <cfRule type="containsErrors" dxfId="1809" priority="2338">
      <formula>ISERROR(M60)</formula>
    </cfRule>
  </conditionalFormatting>
  <conditionalFormatting sqref="X60:X72">
    <cfRule type="containsErrors" dxfId="1808" priority="2337">
      <formula>ISERROR(X60)</formula>
    </cfRule>
  </conditionalFormatting>
  <conditionalFormatting sqref="AT60:AT72">
    <cfRule type="containsErrors" dxfId="1807" priority="2335">
      <formula>ISERROR(AT60)</formula>
    </cfRule>
  </conditionalFormatting>
  <conditionalFormatting sqref="BR6:BR18">
    <cfRule type="containsErrors" dxfId="1806" priority="2334">
      <formula>ISERROR(BR6)</formula>
    </cfRule>
  </conditionalFormatting>
  <conditionalFormatting sqref="CC6:CC18">
    <cfRule type="containsErrors" dxfId="1805" priority="2333">
      <formula>ISERROR(CC6)</formula>
    </cfRule>
  </conditionalFormatting>
  <conditionalFormatting sqref="CN6:CN18">
    <cfRule type="containsErrors" dxfId="1804" priority="2332">
      <formula>ISERROR(CN6)</formula>
    </cfRule>
  </conditionalFormatting>
  <conditionalFormatting sqref="CY6:CY18">
    <cfRule type="containsErrors" dxfId="1803" priority="2331">
      <formula>ISERROR(CY6)</formula>
    </cfRule>
  </conditionalFormatting>
  <conditionalFormatting sqref="BP26:BQ26">
    <cfRule type="containsErrors" dxfId="1802" priority="2329">
      <formula>ISERROR(BP26)</formula>
    </cfRule>
  </conditionalFormatting>
  <conditionalFormatting sqref="BP25">
    <cfRule type="containsErrors" dxfId="1801" priority="2328">
      <formula>ISERROR(BP25)</formula>
    </cfRule>
  </conditionalFormatting>
  <conditionalFormatting sqref="J26:K26">
    <cfRule type="containsErrors" dxfId="1800" priority="2327">
      <formula>ISERROR(J26)</formula>
    </cfRule>
  </conditionalFormatting>
  <conditionalFormatting sqref="K26">
    <cfRule type="containsErrors" dxfId="1799" priority="2326">
      <formula>ISERROR(K26)</formula>
    </cfRule>
  </conditionalFormatting>
  <conditionalFormatting sqref="BP50">
    <cfRule type="containsErrors" dxfId="1798" priority="2315">
      <formula>ISERROR(BP50)</formula>
    </cfRule>
  </conditionalFormatting>
  <conditionalFormatting sqref="D33:J33 G34:H45 J34:J45">
    <cfRule type="containsErrors" dxfId="1797" priority="2323">
      <formula>ISERROR(D33)</formula>
    </cfRule>
  </conditionalFormatting>
  <conditionalFormatting sqref="K52">
    <cfRule type="containsErrors" dxfId="1796" priority="2322">
      <formula>ISERROR(K52)</formula>
    </cfRule>
  </conditionalFormatting>
  <conditionalFormatting sqref="K53">
    <cfRule type="containsErrors" dxfId="1795" priority="2321">
      <formula>ISERROR(K53)</formula>
    </cfRule>
  </conditionalFormatting>
  <conditionalFormatting sqref="K53">
    <cfRule type="containsErrors" dxfId="1794" priority="2320">
      <formula>ISERROR(K53)</formula>
    </cfRule>
  </conditionalFormatting>
  <conditionalFormatting sqref="L47:L51 L53">
    <cfRule type="containsErrors" dxfId="1793" priority="2319">
      <formula>ISERROR(L47)</formula>
    </cfRule>
  </conditionalFormatting>
  <conditionalFormatting sqref="BP52">
    <cfRule type="containsErrors" dxfId="1792" priority="2313">
      <formula>ISERROR(BP52)</formula>
    </cfRule>
  </conditionalFormatting>
  <conditionalFormatting sqref="BP47:BQ51">
    <cfRule type="containsErrors" dxfId="1791" priority="2317">
      <formula>ISERROR(BP47)</formula>
    </cfRule>
  </conditionalFormatting>
  <conditionalFormatting sqref="BP53:BQ53">
    <cfRule type="containsErrors" dxfId="1790" priority="2316">
      <formula>ISERROR(BP53)</formula>
    </cfRule>
  </conditionalFormatting>
  <conditionalFormatting sqref="BP53:BQ53">
    <cfRule type="containsErrors" dxfId="1789" priority="2314">
      <formula>ISERROR(BP53)</formula>
    </cfRule>
  </conditionalFormatting>
  <conditionalFormatting sqref="CW3">
    <cfRule type="containsErrors" dxfId="1788" priority="2312">
      <formula>ISERROR(CW3)</formula>
    </cfRule>
  </conditionalFormatting>
  <conditionalFormatting sqref="CL3">
    <cfRule type="containsErrors" dxfId="1787" priority="2311">
      <formula>ISERROR(CL3)</formula>
    </cfRule>
  </conditionalFormatting>
  <conditionalFormatting sqref="CA3">
    <cfRule type="containsErrors" dxfId="1786" priority="2310">
      <formula>ISERROR(CA3)</formula>
    </cfRule>
  </conditionalFormatting>
  <conditionalFormatting sqref="CA30">
    <cfRule type="containsErrors" dxfId="1785" priority="2309">
      <formula>ISERROR(CA30)</formula>
    </cfRule>
  </conditionalFormatting>
  <conditionalFormatting sqref="CL30">
    <cfRule type="containsErrors" dxfId="1784" priority="2308">
      <formula>ISERROR(CL30)</formula>
    </cfRule>
  </conditionalFormatting>
  <conditionalFormatting sqref="CW30">
    <cfRule type="containsErrors" dxfId="1783" priority="2307">
      <formula>ISERROR(CW30)</formula>
    </cfRule>
  </conditionalFormatting>
  <conditionalFormatting sqref="BH33:BJ33 BL33:BO33 BL34:BM45 BO34:BO45">
    <cfRule type="containsErrors" dxfId="1782" priority="2306">
      <formula>ISERROR(BH33)</formula>
    </cfRule>
  </conditionalFormatting>
  <conditionalFormatting sqref="BK33">
    <cfRule type="containsErrors" dxfId="1781" priority="2305">
      <formula>ISERROR(BK33)</formula>
    </cfRule>
  </conditionalFormatting>
  <conditionalFormatting sqref="BR33:BR45">
    <cfRule type="containsErrors" dxfId="1780" priority="2304">
      <formula>ISERROR(BR33)</formula>
    </cfRule>
  </conditionalFormatting>
  <conditionalFormatting sqref="CC33:CC45">
    <cfRule type="containsErrors" dxfId="1779" priority="2303">
      <formula>ISERROR(CC33)</formula>
    </cfRule>
  </conditionalFormatting>
  <conditionalFormatting sqref="CN33:CN45">
    <cfRule type="containsErrors" dxfId="1778" priority="2302">
      <formula>ISERROR(CN33)</formula>
    </cfRule>
  </conditionalFormatting>
  <conditionalFormatting sqref="CY33:CY45">
    <cfRule type="containsErrors" dxfId="1777" priority="2301">
      <formula>ISERROR(CY33)</formula>
    </cfRule>
  </conditionalFormatting>
  <conditionalFormatting sqref="AI33:AI45">
    <cfRule type="containsErrors" dxfId="1776" priority="2300">
      <formula>ISERROR(AI33)</formula>
    </cfRule>
  </conditionalFormatting>
  <conditionalFormatting sqref="AT33:AT45">
    <cfRule type="containsErrors" dxfId="1775" priority="2299">
      <formula>ISERROR(AT33)</formula>
    </cfRule>
  </conditionalFormatting>
  <conditionalFormatting sqref="AH241">
    <cfRule type="containsErrors" dxfId="1774" priority="1928">
      <formula>ISERROR(AH241)</formula>
    </cfRule>
  </conditionalFormatting>
  <conditionalFormatting sqref="AG84">
    <cfRule type="containsErrors" dxfId="1773" priority="2297">
      <formula>ISERROR(AG84)</formula>
    </cfRule>
  </conditionalFormatting>
  <conditionalFormatting sqref="AR84">
    <cfRule type="containsErrors" dxfId="1772" priority="2296">
      <formula>ISERROR(AR84)</formula>
    </cfRule>
  </conditionalFormatting>
  <conditionalFormatting sqref="BC84">
    <cfRule type="containsErrors" dxfId="1771" priority="2295">
      <formula>ISERROR(BC84)</formula>
    </cfRule>
  </conditionalFormatting>
  <conditionalFormatting sqref="L107:L108">
    <cfRule type="containsErrors" dxfId="1770" priority="2294">
      <formula>ISERROR(L107)</formula>
    </cfRule>
  </conditionalFormatting>
  <conditionalFormatting sqref="U101:V101">
    <cfRule type="containsErrors" dxfId="1769" priority="2293">
      <formula>ISERROR(U101)</formula>
    </cfRule>
  </conditionalFormatting>
  <conditionalFormatting sqref="AA101">
    <cfRule type="containsErrors" dxfId="1768" priority="2292">
      <formula>ISERROR(AA101)</formula>
    </cfRule>
  </conditionalFormatting>
  <conditionalFormatting sqref="AB104:AH107 AL104:AS107 AW104:BC107 P107:Q107 Z104:Z107 AJ108:AS108 AJ101:AS103 AJ104:AJ107 AU108:BC108 AU101:BC103 AU104:AU107 T101:X108">
    <cfRule type="containsErrors" dxfId="1767" priority="2291">
      <formula>ISERROR(P101)</formula>
    </cfRule>
  </conditionalFormatting>
  <conditionalFormatting sqref="O107">
    <cfRule type="containsErrors" dxfId="1766" priority="2290">
      <formula>ISERROR(O107)</formula>
    </cfRule>
  </conditionalFormatting>
  <conditionalFormatting sqref="AR266">
    <cfRule type="containsErrors" dxfId="1765" priority="1918">
      <formula>ISERROR(AR266)</formula>
    </cfRule>
  </conditionalFormatting>
  <conditionalFormatting sqref="BC266">
    <cfRule type="containsErrors" dxfId="1764" priority="1917">
      <formula>ISERROR(BC266)</formula>
    </cfRule>
  </conditionalFormatting>
  <conditionalFormatting sqref="AA107">
    <cfRule type="containsErrors" dxfId="1763" priority="2286">
      <formula>ISERROR(AA107)</formula>
    </cfRule>
  </conditionalFormatting>
  <conditionalFormatting sqref="AA106">
    <cfRule type="containsErrors" dxfId="1762" priority="2285">
      <formula>ISERROR(AA106)</formula>
    </cfRule>
  </conditionalFormatting>
  <conditionalFormatting sqref="AA105:AA106">
    <cfRule type="containsErrors" dxfId="1761" priority="2284">
      <formula>ISERROR(AA105)</formula>
    </cfRule>
  </conditionalFormatting>
  <conditionalFormatting sqref="AA104">
    <cfRule type="containsErrors" dxfId="1760" priority="2283">
      <formula>ISERROR(AA104)</formula>
    </cfRule>
  </conditionalFormatting>
  <conditionalFormatting sqref="AK107">
    <cfRule type="containsErrors" dxfId="1759" priority="2282">
      <formula>ISERROR(AK107)</formula>
    </cfRule>
  </conditionalFormatting>
  <conditionalFormatting sqref="AK106">
    <cfRule type="containsErrors" dxfId="1758" priority="2281">
      <formula>ISERROR(AK106)</formula>
    </cfRule>
  </conditionalFormatting>
  <conditionalFormatting sqref="AK105:AK106">
    <cfRule type="containsErrors" dxfId="1757" priority="2280">
      <formula>ISERROR(AK105)</formula>
    </cfRule>
  </conditionalFormatting>
  <conditionalFormatting sqref="AK104">
    <cfRule type="containsErrors" dxfId="1756" priority="2279">
      <formula>ISERROR(AK104)</formula>
    </cfRule>
  </conditionalFormatting>
  <conditionalFormatting sqref="AV107">
    <cfRule type="containsErrors" dxfId="1755" priority="2278">
      <formula>ISERROR(AV107)</formula>
    </cfRule>
  </conditionalFormatting>
  <conditionalFormatting sqref="AV106">
    <cfRule type="containsErrors" dxfId="1754" priority="2277">
      <formula>ISERROR(AV106)</formula>
    </cfRule>
  </conditionalFormatting>
  <conditionalFormatting sqref="AV105:AV106">
    <cfRule type="containsErrors" dxfId="1753" priority="2276">
      <formula>ISERROR(AV105)</formula>
    </cfRule>
  </conditionalFormatting>
  <conditionalFormatting sqref="AV104">
    <cfRule type="containsErrors" dxfId="1752" priority="2275">
      <formula>ISERROR(AV104)</formula>
    </cfRule>
  </conditionalFormatting>
  <conditionalFormatting sqref="AV287:AV288">
    <cfRule type="containsErrors" dxfId="1751" priority="1898">
      <formula>ISERROR(AV287)</formula>
    </cfRule>
  </conditionalFormatting>
  <conditionalFormatting sqref="AK289">
    <cfRule type="containsErrors" dxfId="1750" priority="1904">
      <formula>ISERROR(AK289)</formula>
    </cfRule>
  </conditionalFormatting>
  <conditionalFormatting sqref="M107:M108">
    <cfRule type="containsErrors" dxfId="1749" priority="2272">
      <formula>ISERROR(M107)</formula>
    </cfRule>
  </conditionalFormatting>
  <conditionalFormatting sqref="Y101:Y108">
    <cfRule type="containsErrors" dxfId="1748" priority="2271">
      <formula>ISERROR(Y101)</formula>
    </cfRule>
  </conditionalFormatting>
  <conditionalFormatting sqref="AI101:AI108">
    <cfRule type="containsErrors" dxfId="1747" priority="2270">
      <formula>ISERROR(AI101)</formula>
    </cfRule>
  </conditionalFormatting>
  <conditionalFormatting sqref="AT101:AT108">
    <cfRule type="containsErrors" dxfId="1746" priority="2269">
      <formula>ISERROR(AT101)</formula>
    </cfRule>
  </conditionalFormatting>
  <conditionalFormatting sqref="BD101:BD108">
    <cfRule type="containsErrors" dxfId="1745" priority="2268">
      <formula>ISERROR(BD101)</formula>
    </cfRule>
  </conditionalFormatting>
  <conditionalFormatting sqref="BC87:BC99 AR87:AS99 AG87:AH99 AB87:AD99 AB86:AH86 AJ86:AS86 AJ100:AS100 AJ87:AO99 AU86:BC86 AU100:BC100 AU87:AZ99 T100:X100">
    <cfRule type="containsErrors" dxfId="1744" priority="2267">
      <formula>ISERROR(T86)</formula>
    </cfRule>
  </conditionalFormatting>
  <conditionalFormatting sqref="AG85">
    <cfRule type="containsErrors" dxfId="1743" priority="2265">
      <formula>ISERROR(AG85)</formula>
    </cfRule>
  </conditionalFormatting>
  <conditionalFormatting sqref="AR85">
    <cfRule type="containsErrors" dxfId="1742" priority="2264">
      <formula>ISERROR(AR85)</formula>
    </cfRule>
  </conditionalFormatting>
  <conditionalFormatting sqref="BC85">
    <cfRule type="containsErrors" dxfId="1741" priority="2263">
      <formula>ISERROR(BC85)</formula>
    </cfRule>
  </conditionalFormatting>
  <conditionalFormatting sqref="AE87:AF99">
    <cfRule type="containsErrors" dxfId="1740" priority="2262">
      <formula>ISERROR(AE87)</formula>
    </cfRule>
  </conditionalFormatting>
  <conditionalFormatting sqref="AP87:AQ99">
    <cfRule type="containsErrors" dxfId="1739" priority="2261">
      <formula>ISERROR(AP87)</formula>
    </cfRule>
  </conditionalFormatting>
  <conditionalFormatting sqref="BA87:BB99">
    <cfRule type="containsErrors" dxfId="1738" priority="2260">
      <formula>ISERROR(BA87)</formula>
    </cfRule>
  </conditionalFormatting>
  <conditionalFormatting sqref="AA312">
    <cfRule type="containsErrors" dxfId="1737" priority="1851">
      <formula>ISERROR(AA312)</formula>
    </cfRule>
  </conditionalFormatting>
  <conditionalFormatting sqref="AG267">
    <cfRule type="containsErrors" dxfId="1736" priority="1887">
      <formula>ISERROR(AG267)</formula>
    </cfRule>
  </conditionalFormatting>
  <conditionalFormatting sqref="Y100">
    <cfRule type="containsErrors" dxfId="1735" priority="2256">
      <formula>ISERROR(Y100)</formula>
    </cfRule>
  </conditionalFormatting>
  <conditionalFormatting sqref="AI86 AI100">
    <cfRule type="containsErrors" dxfId="1734" priority="2255">
      <formula>ISERROR(AI86)</formula>
    </cfRule>
  </conditionalFormatting>
  <conditionalFormatting sqref="AT86 AT100">
    <cfRule type="containsErrors" dxfId="1733" priority="2254">
      <formula>ISERROR(AT86)</formula>
    </cfRule>
  </conditionalFormatting>
  <conditionalFormatting sqref="AH85">
    <cfRule type="containsErrors" dxfId="1732" priority="2252">
      <formula>ISERROR(AH85)</formula>
    </cfRule>
  </conditionalFormatting>
  <conditionalFormatting sqref="AS85">
    <cfRule type="containsErrors" dxfId="1731" priority="2251">
      <formula>ISERROR(AS85)</formula>
    </cfRule>
  </conditionalFormatting>
  <conditionalFormatting sqref="BD86:BD100">
    <cfRule type="containsErrors" dxfId="1730" priority="2250">
      <formula>ISERROR(BD86)</formula>
    </cfRule>
  </conditionalFormatting>
  <conditionalFormatting sqref="BD85">
    <cfRule type="containsErrors" dxfId="1729" priority="2249">
      <formula>ISERROR(BD85)</formula>
    </cfRule>
  </conditionalFormatting>
  <conditionalFormatting sqref="AI87:AI99">
    <cfRule type="containsErrors" dxfId="1728" priority="2246">
      <formula>ISERROR(AI87)</formula>
    </cfRule>
  </conditionalFormatting>
  <conditionalFormatting sqref="Y282">
    <cfRule type="containsErrors" dxfId="1727" priority="1878">
      <formula>ISERROR(Y282)</formula>
    </cfRule>
  </conditionalFormatting>
  <conditionalFormatting sqref="AT87:AT99">
    <cfRule type="containsErrors" dxfId="1726" priority="2245">
      <formula>ISERROR(AT87)</formula>
    </cfRule>
  </conditionalFormatting>
  <conditionalFormatting sqref="AG110">
    <cfRule type="containsErrors" dxfId="1725" priority="2243">
      <formula>ISERROR(AG110)</formula>
    </cfRule>
  </conditionalFormatting>
  <conditionalFormatting sqref="AR110">
    <cfRule type="containsErrors" dxfId="1724" priority="2242">
      <formula>ISERROR(AR110)</formula>
    </cfRule>
  </conditionalFormatting>
  <conditionalFormatting sqref="BC110">
    <cfRule type="containsErrors" dxfId="1723" priority="2241">
      <formula>ISERROR(BC110)</formula>
    </cfRule>
  </conditionalFormatting>
  <conditionalFormatting sqref="L133:L134">
    <cfRule type="containsErrors" dxfId="1722" priority="2240">
      <formula>ISERROR(L133)</formula>
    </cfRule>
  </conditionalFormatting>
  <conditionalFormatting sqref="U127:V127">
    <cfRule type="containsErrors" dxfId="1721" priority="2239">
      <formula>ISERROR(U127)</formula>
    </cfRule>
  </conditionalFormatting>
  <conditionalFormatting sqref="AA127">
    <cfRule type="containsErrors" dxfId="1720" priority="2238">
      <formula>ISERROR(AA127)</formula>
    </cfRule>
  </conditionalFormatting>
  <conditionalFormatting sqref="AB130:AH133 AL130:AS133 AW130:BC133 N133 Z130:Z133 AJ134:AS134 AJ127:AS129 AJ130:AJ133 AU134:BC134 AU127:BC129 AU130:AU133 U127:X132">
    <cfRule type="containsErrors" dxfId="1719" priority="2237">
      <formula>ISERROR(N127)</formula>
    </cfRule>
  </conditionalFormatting>
  <conditionalFormatting sqref="O133">
    <cfRule type="containsErrors" dxfId="1718" priority="2236">
      <formula>ISERROR(O133)</formula>
    </cfRule>
  </conditionalFormatting>
  <conditionalFormatting sqref="BA269:BB281">
    <cfRule type="containsErrors" dxfId="1717" priority="1882">
      <formula>ISERROR(BA269)</formula>
    </cfRule>
  </conditionalFormatting>
  <conditionalFormatting sqref="AV313:AV314">
    <cfRule type="containsErrors" dxfId="1716" priority="1844">
      <formula>ISERROR(AV313)</formula>
    </cfRule>
  </conditionalFormatting>
  <conditionalFormatting sqref="AA133">
    <cfRule type="containsErrors" dxfId="1715" priority="2232">
      <formula>ISERROR(AA133)</formula>
    </cfRule>
  </conditionalFormatting>
  <conditionalFormatting sqref="AA132">
    <cfRule type="containsErrors" dxfId="1714" priority="2231">
      <formula>ISERROR(AA132)</formula>
    </cfRule>
  </conditionalFormatting>
  <conditionalFormatting sqref="AA131:AA132">
    <cfRule type="containsErrors" dxfId="1713" priority="2230">
      <formula>ISERROR(AA131)</formula>
    </cfRule>
  </conditionalFormatting>
  <conditionalFormatting sqref="AA130">
    <cfRule type="containsErrors" dxfId="1712" priority="2229">
      <formula>ISERROR(AA130)</formula>
    </cfRule>
  </conditionalFormatting>
  <conditionalFormatting sqref="AK133">
    <cfRule type="containsErrors" dxfId="1711" priority="2228">
      <formula>ISERROR(AK133)</formula>
    </cfRule>
  </conditionalFormatting>
  <conditionalFormatting sqref="AK132">
    <cfRule type="containsErrors" dxfId="1710" priority="2227">
      <formula>ISERROR(AK132)</formula>
    </cfRule>
  </conditionalFormatting>
  <conditionalFormatting sqref="AK131:AK132">
    <cfRule type="containsErrors" dxfId="1709" priority="2226">
      <formula>ISERROR(AK131)</formula>
    </cfRule>
  </conditionalFormatting>
  <conditionalFormatting sqref="AK130">
    <cfRule type="containsErrors" dxfId="1708" priority="2225">
      <formula>ISERROR(AK130)</formula>
    </cfRule>
  </conditionalFormatting>
  <conditionalFormatting sqref="AV133">
    <cfRule type="containsErrors" dxfId="1707" priority="2224">
      <formula>ISERROR(AV133)</formula>
    </cfRule>
  </conditionalFormatting>
  <conditionalFormatting sqref="AV132">
    <cfRule type="containsErrors" dxfId="1706" priority="2223">
      <formula>ISERROR(AV132)</formula>
    </cfRule>
  </conditionalFormatting>
  <conditionalFormatting sqref="AV131:AV132">
    <cfRule type="containsErrors" dxfId="1705" priority="2222">
      <formula>ISERROR(AV131)</formula>
    </cfRule>
  </conditionalFormatting>
  <conditionalFormatting sqref="AV130">
    <cfRule type="containsErrors" dxfId="1704" priority="2221">
      <formula>ISERROR(AV130)</formula>
    </cfRule>
  </conditionalFormatting>
  <conditionalFormatting sqref="AT269:AT281">
    <cfRule type="containsErrors" dxfId="1703" priority="1867">
      <formula>ISERROR(AT269)</formula>
    </cfRule>
  </conditionalFormatting>
  <conditionalFormatting sqref="AI269:AI281">
    <cfRule type="containsErrors" dxfId="1702" priority="1868">
      <formula>ISERROR(AI269)</formula>
    </cfRule>
  </conditionalFormatting>
  <conditionalFormatting sqref="M133:M134">
    <cfRule type="containsErrors" dxfId="1701" priority="2218">
      <formula>ISERROR(M133)</formula>
    </cfRule>
  </conditionalFormatting>
  <conditionalFormatting sqref="Y127:Y134">
    <cfRule type="containsErrors" dxfId="1700" priority="2217">
      <formula>ISERROR(Y127)</formula>
    </cfRule>
  </conditionalFormatting>
  <conditionalFormatting sqref="AI127:AI134">
    <cfRule type="containsErrors" dxfId="1699" priority="2216">
      <formula>ISERROR(AI127)</formula>
    </cfRule>
  </conditionalFormatting>
  <conditionalFormatting sqref="AT127:AT134">
    <cfRule type="containsErrors" dxfId="1698" priority="2215">
      <formula>ISERROR(AT127)</formula>
    </cfRule>
  </conditionalFormatting>
  <conditionalFormatting sqref="BD127:BD134">
    <cfRule type="containsErrors" dxfId="1697" priority="2214">
      <formula>ISERROR(BD127)</formula>
    </cfRule>
  </conditionalFormatting>
  <conditionalFormatting sqref="BC113:BC125 AR113:AS125 AG113:AH125 AB113:AD125 U126:X126 AB112:AH112 AJ112:AS112 AJ126:AS126 AJ113:AO125 AU112:BC112 AU126:BC126 AU113:AZ125">
    <cfRule type="containsErrors" dxfId="1696" priority="2213">
      <formula>ISERROR(U112)</formula>
    </cfRule>
  </conditionalFormatting>
  <conditionalFormatting sqref="AG111">
    <cfRule type="containsErrors" dxfId="1695" priority="2211">
      <formula>ISERROR(AG111)</formula>
    </cfRule>
  </conditionalFormatting>
  <conditionalFormatting sqref="AR111">
    <cfRule type="containsErrors" dxfId="1694" priority="2210">
      <formula>ISERROR(AR111)</formula>
    </cfRule>
  </conditionalFormatting>
  <conditionalFormatting sqref="BC111">
    <cfRule type="containsErrors" dxfId="1693" priority="2209">
      <formula>ISERROR(BC111)</formula>
    </cfRule>
  </conditionalFormatting>
  <conditionalFormatting sqref="AE113:AF125">
    <cfRule type="containsErrors" dxfId="1692" priority="2208">
      <formula>ISERROR(AE113)</formula>
    </cfRule>
  </conditionalFormatting>
  <conditionalFormatting sqref="AP113:AQ125">
    <cfRule type="containsErrors" dxfId="1691" priority="2207">
      <formula>ISERROR(AP113)</formula>
    </cfRule>
  </conditionalFormatting>
  <conditionalFormatting sqref="BA113:BB125">
    <cfRule type="containsErrors" dxfId="1690" priority="2206">
      <formula>ISERROR(BA113)</formula>
    </cfRule>
  </conditionalFormatting>
  <conditionalFormatting sqref="AA313:AA314">
    <cfRule type="containsErrors" dxfId="1689" priority="1852">
      <formula>ISERROR(AA313)</formula>
    </cfRule>
  </conditionalFormatting>
  <conditionalFormatting sqref="Y126">
    <cfRule type="containsErrors" dxfId="1688" priority="2202">
      <formula>ISERROR(Y126)</formula>
    </cfRule>
  </conditionalFormatting>
  <conditionalFormatting sqref="AI112 AI126">
    <cfRule type="containsErrors" dxfId="1687" priority="2201">
      <formula>ISERROR(AI112)</formula>
    </cfRule>
  </conditionalFormatting>
  <conditionalFormatting sqref="AT112 AT126">
    <cfRule type="containsErrors" dxfId="1686" priority="2200">
      <formula>ISERROR(AT112)</formula>
    </cfRule>
  </conditionalFormatting>
  <conditionalFormatting sqref="AH111">
    <cfRule type="containsErrors" dxfId="1685" priority="2198">
      <formula>ISERROR(AH111)</formula>
    </cfRule>
  </conditionalFormatting>
  <conditionalFormatting sqref="AS111">
    <cfRule type="containsErrors" dxfId="1684" priority="2197">
      <formula>ISERROR(AS111)</formula>
    </cfRule>
  </conditionalFormatting>
  <conditionalFormatting sqref="BD112:BD126">
    <cfRule type="containsErrors" dxfId="1683" priority="2196">
      <formula>ISERROR(BD112)</formula>
    </cfRule>
  </conditionalFormatting>
  <conditionalFormatting sqref="BD111">
    <cfRule type="containsErrors" dxfId="1682" priority="2195">
      <formula>ISERROR(BD111)</formula>
    </cfRule>
  </conditionalFormatting>
  <conditionalFormatting sqref="AI113:AI125">
    <cfRule type="containsErrors" dxfId="1681" priority="2192">
      <formula>ISERROR(AI113)</formula>
    </cfRule>
  </conditionalFormatting>
  <conditionalFormatting sqref="AT309:AT316">
    <cfRule type="containsErrors" dxfId="1680" priority="1837">
      <formula>ISERROR(AT309)</formula>
    </cfRule>
  </conditionalFormatting>
  <conditionalFormatting sqref="AT113:AT125">
    <cfRule type="containsErrors" dxfId="1679" priority="2191">
      <formula>ISERROR(AT113)</formula>
    </cfRule>
  </conditionalFormatting>
  <conditionalFormatting sqref="AG136">
    <cfRule type="containsErrors" dxfId="1678" priority="2189">
      <formula>ISERROR(AG136)</formula>
    </cfRule>
  </conditionalFormatting>
  <conditionalFormatting sqref="AR136">
    <cfRule type="containsErrors" dxfId="1677" priority="2188">
      <formula>ISERROR(AR136)</formula>
    </cfRule>
  </conditionalFormatting>
  <conditionalFormatting sqref="BC136">
    <cfRule type="containsErrors" dxfId="1676" priority="2187">
      <formula>ISERROR(BC136)</formula>
    </cfRule>
  </conditionalFormatting>
  <conditionalFormatting sqref="L159:L160">
    <cfRule type="containsErrors" dxfId="1675" priority="2186">
      <formula>ISERROR(L159)</formula>
    </cfRule>
  </conditionalFormatting>
  <conditionalFormatting sqref="U153:V153">
    <cfRule type="containsErrors" dxfId="1674" priority="2185">
      <formula>ISERROR(U153)</formula>
    </cfRule>
  </conditionalFormatting>
  <conditionalFormatting sqref="AA153">
    <cfRule type="containsErrors" dxfId="1673" priority="2184">
      <formula>ISERROR(AA153)</formula>
    </cfRule>
  </conditionalFormatting>
  <conditionalFormatting sqref="AB156:AH159 AL156:AS159 AW156:BC159 N159 Z156:Z159 AJ160:AS160 AJ153:AS155 AJ156:AJ159 AU160:BC160 AU153:BC155 AU156:AU159 U153:X158">
    <cfRule type="containsErrors" dxfId="1672" priority="2183">
      <formula>ISERROR(N153)</formula>
    </cfRule>
  </conditionalFormatting>
  <conditionalFormatting sqref="O159">
    <cfRule type="containsErrors" dxfId="1671" priority="2182">
      <formula>ISERROR(O159)</formula>
    </cfRule>
  </conditionalFormatting>
  <conditionalFormatting sqref="BC292">
    <cfRule type="containsErrors" dxfId="1670" priority="1863">
      <formula>ISERROR(BC292)</formula>
    </cfRule>
  </conditionalFormatting>
  <conditionalFormatting sqref="L315:L316">
    <cfRule type="containsErrors" dxfId="1669" priority="1862">
      <formula>ISERROR(L315)</formula>
    </cfRule>
  </conditionalFormatting>
  <conditionalFormatting sqref="AA159">
    <cfRule type="containsErrors" dxfId="1668" priority="2178">
      <formula>ISERROR(AA159)</formula>
    </cfRule>
  </conditionalFormatting>
  <conditionalFormatting sqref="AA158">
    <cfRule type="containsErrors" dxfId="1667" priority="2177">
      <formula>ISERROR(AA158)</formula>
    </cfRule>
  </conditionalFormatting>
  <conditionalFormatting sqref="AA157:AA158">
    <cfRule type="containsErrors" dxfId="1666" priority="2176">
      <formula>ISERROR(AA157)</formula>
    </cfRule>
  </conditionalFormatting>
  <conditionalFormatting sqref="AA156">
    <cfRule type="containsErrors" dxfId="1665" priority="2175">
      <formula>ISERROR(AA156)</formula>
    </cfRule>
  </conditionalFormatting>
  <conditionalFormatting sqref="AK159">
    <cfRule type="containsErrors" dxfId="1664" priority="2174">
      <formula>ISERROR(AK159)</formula>
    </cfRule>
  </conditionalFormatting>
  <conditionalFormatting sqref="AK158">
    <cfRule type="containsErrors" dxfId="1663" priority="2173">
      <formula>ISERROR(AK158)</formula>
    </cfRule>
  </conditionalFormatting>
  <conditionalFormatting sqref="AK157:AK158">
    <cfRule type="containsErrors" dxfId="1662" priority="2172">
      <formula>ISERROR(AK157)</formula>
    </cfRule>
  </conditionalFormatting>
  <conditionalFormatting sqref="AK156">
    <cfRule type="containsErrors" dxfId="1661" priority="2171">
      <formula>ISERROR(AK156)</formula>
    </cfRule>
  </conditionalFormatting>
  <conditionalFormatting sqref="AV159">
    <cfRule type="containsErrors" dxfId="1660" priority="2170">
      <formula>ISERROR(AV159)</formula>
    </cfRule>
  </conditionalFormatting>
  <conditionalFormatting sqref="AV158">
    <cfRule type="containsErrors" dxfId="1659" priority="2169">
      <formula>ISERROR(AV158)</formula>
    </cfRule>
  </conditionalFormatting>
  <conditionalFormatting sqref="AV157:AV158">
    <cfRule type="containsErrors" dxfId="1658" priority="2168">
      <formula>ISERROR(AV157)</formula>
    </cfRule>
  </conditionalFormatting>
  <conditionalFormatting sqref="AV156">
    <cfRule type="containsErrors" dxfId="1657" priority="2167">
      <formula>ISERROR(AV156)</formula>
    </cfRule>
  </conditionalFormatting>
  <conditionalFormatting sqref="AK313:AK314">
    <cfRule type="containsErrors" dxfId="1656" priority="1848">
      <formula>ISERROR(AK313)</formula>
    </cfRule>
  </conditionalFormatting>
  <conditionalFormatting sqref="AA315">
    <cfRule type="containsErrors" dxfId="1655" priority="1854">
      <formula>ISERROR(AA315)</formula>
    </cfRule>
  </conditionalFormatting>
  <conditionalFormatting sqref="M159:M160">
    <cfRule type="containsErrors" dxfId="1654" priority="2164">
      <formula>ISERROR(M159)</formula>
    </cfRule>
  </conditionalFormatting>
  <conditionalFormatting sqref="Y153:Y160">
    <cfRule type="containsErrors" dxfId="1653" priority="2163">
      <formula>ISERROR(Y153)</formula>
    </cfRule>
  </conditionalFormatting>
  <conditionalFormatting sqref="AI153:AI160">
    <cfRule type="containsErrors" dxfId="1652" priority="2162">
      <formula>ISERROR(AI153)</formula>
    </cfRule>
  </conditionalFormatting>
  <conditionalFormatting sqref="AT153:AT160">
    <cfRule type="containsErrors" dxfId="1651" priority="2161">
      <formula>ISERROR(AT153)</formula>
    </cfRule>
  </conditionalFormatting>
  <conditionalFormatting sqref="BD153:BD160">
    <cfRule type="containsErrors" dxfId="1650" priority="2160">
      <formula>ISERROR(BD153)</formula>
    </cfRule>
  </conditionalFormatting>
  <conditionalFormatting sqref="BC139:BC151 AR139:AS151 AG139:AH151 AB139:AD151 U152:X152 AB138:AH138 AJ138:AS138 AJ152:AS152 AJ139:AO151 AU138:BC138 AU152:BC152 AU139:AZ151">
    <cfRule type="containsErrors" dxfId="1649" priority="2159">
      <formula>ISERROR(U138)</formula>
    </cfRule>
  </conditionalFormatting>
  <conditionalFormatting sqref="AG137">
    <cfRule type="containsErrors" dxfId="1648" priority="2157">
      <formula>ISERROR(AG137)</formula>
    </cfRule>
  </conditionalFormatting>
  <conditionalFormatting sqref="AR137">
    <cfRule type="containsErrors" dxfId="1647" priority="2156">
      <formula>ISERROR(AR137)</formula>
    </cfRule>
  </conditionalFormatting>
  <conditionalFormatting sqref="BC137">
    <cfRule type="containsErrors" dxfId="1646" priority="2155">
      <formula>ISERROR(BC137)</formula>
    </cfRule>
  </conditionalFormatting>
  <conditionalFormatting sqref="AE139:AF151">
    <cfRule type="containsErrors" dxfId="1645" priority="2154">
      <formula>ISERROR(AE139)</formula>
    </cfRule>
  </conditionalFormatting>
  <conditionalFormatting sqref="AP139:AQ151">
    <cfRule type="containsErrors" dxfId="1644" priority="2153">
      <formula>ISERROR(AP139)</formula>
    </cfRule>
  </conditionalFormatting>
  <conditionalFormatting sqref="BA139:BB151">
    <cfRule type="containsErrors" dxfId="1643" priority="2152">
      <formula>ISERROR(BA139)</formula>
    </cfRule>
  </conditionalFormatting>
  <conditionalFormatting sqref="AI309:AI316">
    <cfRule type="containsErrors" dxfId="1642" priority="1838">
      <formula>ISERROR(AI309)</formula>
    </cfRule>
  </conditionalFormatting>
  <conditionalFormatting sqref="BC295:BC307 AR295:AS307 AG295:AH307 AB295:AD307 U308:X308 AB294:AH294 AJ294:AS294 AJ308:AS308 AJ295:AO307 AU294:BC294 AU308:BC308 AU295:AZ307">
    <cfRule type="containsErrors" dxfId="1641" priority="1835">
      <formula>ISERROR(U294)</formula>
    </cfRule>
  </conditionalFormatting>
  <conditionalFormatting sqref="Y152">
    <cfRule type="containsErrors" dxfId="1640" priority="2148">
      <formula>ISERROR(Y152)</formula>
    </cfRule>
  </conditionalFormatting>
  <conditionalFormatting sqref="AI138 AI152">
    <cfRule type="containsErrors" dxfId="1639" priority="2147">
      <formula>ISERROR(AI138)</formula>
    </cfRule>
  </conditionalFormatting>
  <conditionalFormatting sqref="AT138 AT152">
    <cfRule type="containsErrors" dxfId="1638" priority="2146">
      <formula>ISERROR(AT138)</formula>
    </cfRule>
  </conditionalFormatting>
  <conditionalFormatting sqref="AH137">
    <cfRule type="containsErrors" dxfId="1637" priority="2144">
      <formula>ISERROR(AH137)</formula>
    </cfRule>
  </conditionalFormatting>
  <conditionalFormatting sqref="AS137">
    <cfRule type="containsErrors" dxfId="1636" priority="2143">
      <formula>ISERROR(AS137)</formula>
    </cfRule>
  </conditionalFormatting>
  <conditionalFormatting sqref="BD138:BD152">
    <cfRule type="containsErrors" dxfId="1635" priority="2142">
      <formula>ISERROR(BD138)</formula>
    </cfRule>
  </conditionalFormatting>
  <conditionalFormatting sqref="BD137">
    <cfRule type="containsErrors" dxfId="1634" priority="2141">
      <formula>ISERROR(BD137)</formula>
    </cfRule>
  </conditionalFormatting>
  <conditionalFormatting sqref="AI139:AI151">
    <cfRule type="containsErrors" dxfId="1633" priority="2138">
      <formula>ISERROR(AI139)</formula>
    </cfRule>
  </conditionalFormatting>
  <conditionalFormatting sqref="BA295:BB307">
    <cfRule type="containsErrors" dxfId="1632" priority="1828">
      <formula>ISERROR(BA295)</formula>
    </cfRule>
  </conditionalFormatting>
  <conditionalFormatting sqref="AT139:AT151">
    <cfRule type="containsErrors" dxfId="1631" priority="2137">
      <formula>ISERROR(AT139)</formula>
    </cfRule>
  </conditionalFormatting>
  <conditionalFormatting sqref="AG162">
    <cfRule type="containsErrors" dxfId="1630" priority="2135">
      <formula>ISERROR(AG162)</formula>
    </cfRule>
  </conditionalFormatting>
  <conditionalFormatting sqref="AR162">
    <cfRule type="containsErrors" dxfId="1629" priority="2134">
      <formula>ISERROR(AR162)</formula>
    </cfRule>
  </conditionalFormatting>
  <conditionalFormatting sqref="BC162">
    <cfRule type="containsErrors" dxfId="1628" priority="2133">
      <formula>ISERROR(BC162)</formula>
    </cfRule>
  </conditionalFormatting>
  <conditionalFormatting sqref="L185:L186">
    <cfRule type="containsErrors" dxfId="1627" priority="2132">
      <formula>ISERROR(L185)</formula>
    </cfRule>
  </conditionalFormatting>
  <conditionalFormatting sqref="U179:V179">
    <cfRule type="containsErrors" dxfId="1626" priority="2131">
      <formula>ISERROR(U179)</formula>
    </cfRule>
  </conditionalFormatting>
  <conditionalFormatting sqref="AA179">
    <cfRule type="containsErrors" dxfId="1625" priority="2130">
      <formula>ISERROR(AA179)</formula>
    </cfRule>
  </conditionalFormatting>
  <conditionalFormatting sqref="AB182:AH185 AL182:AS185 AW182:BC185 N185 Z182:Z185 AJ186:AS186 AJ179:AS181 AJ182:AJ185 AU186:BC186 AU179:BC181 AU182:AU185 U179:X184">
    <cfRule type="containsErrors" dxfId="1624" priority="2129">
      <formula>ISERROR(N179)</formula>
    </cfRule>
  </conditionalFormatting>
  <conditionalFormatting sqref="O185">
    <cfRule type="containsErrors" dxfId="1623" priority="2128">
      <formula>ISERROR(O185)</formula>
    </cfRule>
  </conditionalFormatting>
  <conditionalFormatting sqref="AA185">
    <cfRule type="containsErrors" dxfId="1622" priority="2124">
      <formula>ISERROR(AA185)</formula>
    </cfRule>
  </conditionalFormatting>
  <conditionalFormatting sqref="AA184">
    <cfRule type="containsErrors" dxfId="1621" priority="2123">
      <formula>ISERROR(AA184)</formula>
    </cfRule>
  </conditionalFormatting>
  <conditionalFormatting sqref="AA183:AA184">
    <cfRule type="containsErrors" dxfId="1620" priority="2122">
      <formula>ISERROR(AA183)</formula>
    </cfRule>
  </conditionalFormatting>
  <conditionalFormatting sqref="AA182">
    <cfRule type="containsErrors" dxfId="1619" priority="2121">
      <formula>ISERROR(AA182)</formula>
    </cfRule>
  </conditionalFormatting>
  <conditionalFormatting sqref="AK185">
    <cfRule type="containsErrors" dxfId="1618" priority="2120">
      <formula>ISERROR(AK185)</formula>
    </cfRule>
  </conditionalFormatting>
  <conditionalFormatting sqref="AK184">
    <cfRule type="containsErrors" dxfId="1617" priority="2119">
      <formula>ISERROR(AK184)</formula>
    </cfRule>
  </conditionalFormatting>
  <conditionalFormatting sqref="AK183:AK184">
    <cfRule type="containsErrors" dxfId="1616" priority="2118">
      <formula>ISERROR(AK183)</formula>
    </cfRule>
  </conditionalFormatting>
  <conditionalFormatting sqref="AK182">
    <cfRule type="containsErrors" dxfId="1615" priority="2117">
      <formula>ISERROR(AK182)</formula>
    </cfRule>
  </conditionalFormatting>
  <conditionalFormatting sqref="AV185">
    <cfRule type="containsErrors" dxfId="1614" priority="2116">
      <formula>ISERROR(AV185)</formula>
    </cfRule>
  </conditionalFormatting>
  <conditionalFormatting sqref="AV184">
    <cfRule type="containsErrors" dxfId="1613" priority="2115">
      <formula>ISERROR(AV184)</formula>
    </cfRule>
  </conditionalFormatting>
  <conditionalFormatting sqref="AV183:AV184">
    <cfRule type="containsErrors" dxfId="1612" priority="2114">
      <formula>ISERROR(AV183)</formula>
    </cfRule>
  </conditionalFormatting>
  <conditionalFormatting sqref="AV182">
    <cfRule type="containsErrors" dxfId="1611" priority="2113">
      <formula>ISERROR(AV182)</formula>
    </cfRule>
  </conditionalFormatting>
  <conditionalFormatting sqref="AH293">
    <cfRule type="containsErrors" dxfId="1610" priority="1820">
      <formula>ISERROR(AH293)</formula>
    </cfRule>
  </conditionalFormatting>
  <conditionalFormatting sqref="AV338">
    <cfRule type="containsErrors" dxfId="1609" priority="1789">
      <formula>ISERROR(AV338)</formula>
    </cfRule>
  </conditionalFormatting>
  <conditionalFormatting sqref="M185:M186">
    <cfRule type="containsErrors" dxfId="1608" priority="2110">
      <formula>ISERROR(M185)</formula>
    </cfRule>
  </conditionalFormatting>
  <conditionalFormatting sqref="Y179:Y186">
    <cfRule type="containsErrors" dxfId="1607" priority="2109">
      <formula>ISERROR(Y179)</formula>
    </cfRule>
  </conditionalFormatting>
  <conditionalFormatting sqref="AI179:AI186">
    <cfRule type="containsErrors" dxfId="1606" priority="2108">
      <formula>ISERROR(AI179)</formula>
    </cfRule>
  </conditionalFormatting>
  <conditionalFormatting sqref="AT179:AT186">
    <cfRule type="containsErrors" dxfId="1605" priority="2107">
      <formula>ISERROR(AT179)</formula>
    </cfRule>
  </conditionalFormatting>
  <conditionalFormatting sqref="BD179:BD186">
    <cfRule type="containsErrors" dxfId="1604" priority="2106">
      <formula>ISERROR(BD179)</formula>
    </cfRule>
  </conditionalFormatting>
  <conditionalFormatting sqref="BC165:BC177 AR165:AS177 AG165:AH177 AB165:AD177 U178:X178 AB164:AH164 AJ164:AS164 AJ178:AS178 AJ165:AO177 AU164:BC164 AU178:BC178 AU165:AZ177">
    <cfRule type="containsErrors" dxfId="1603" priority="2105">
      <formula>ISERROR(U164)</formula>
    </cfRule>
  </conditionalFormatting>
  <conditionalFormatting sqref="AG163">
    <cfRule type="containsErrors" dxfId="1602" priority="2103">
      <formula>ISERROR(AG163)</formula>
    </cfRule>
  </conditionalFormatting>
  <conditionalFormatting sqref="AR163">
    <cfRule type="containsErrors" dxfId="1601" priority="2102">
      <formula>ISERROR(AR163)</formula>
    </cfRule>
  </conditionalFormatting>
  <conditionalFormatting sqref="BC163">
    <cfRule type="containsErrors" dxfId="1600" priority="2101">
      <formula>ISERROR(BC163)</formula>
    </cfRule>
  </conditionalFormatting>
  <conditionalFormatting sqref="AE165:AF177">
    <cfRule type="containsErrors" dxfId="1599" priority="2100">
      <formula>ISERROR(AE165)</formula>
    </cfRule>
  </conditionalFormatting>
  <conditionalFormatting sqref="AP165:AQ177">
    <cfRule type="containsErrors" dxfId="1598" priority="2099">
      <formula>ISERROR(AP165)</formula>
    </cfRule>
  </conditionalFormatting>
  <conditionalFormatting sqref="BA165:BB177">
    <cfRule type="containsErrors" dxfId="1597" priority="2098">
      <formula>ISERROR(BA165)</formula>
    </cfRule>
  </conditionalFormatting>
  <conditionalFormatting sqref="AB338:AH341 AL338:AS341 AW338:BC341 N341 Z338:Z341 AJ342:AS342 AJ335:AS337 AJ338:AJ341 AU342:BC342 AU335:BC337 AU338:AU341 U335:X340">
    <cfRule type="containsErrors" dxfId="1596" priority="1805">
      <formula>ISERROR(N335)</formula>
    </cfRule>
  </conditionalFormatting>
  <conditionalFormatting sqref="O341">
    <cfRule type="containsErrors" dxfId="1595" priority="1804">
      <formula>ISERROR(O341)</formula>
    </cfRule>
  </conditionalFormatting>
  <conditionalFormatting sqref="Y178">
    <cfRule type="containsErrors" dxfId="1594" priority="2094">
      <formula>ISERROR(Y178)</formula>
    </cfRule>
  </conditionalFormatting>
  <conditionalFormatting sqref="AI164 AI178">
    <cfRule type="containsErrors" dxfId="1593" priority="2093">
      <formula>ISERROR(AI164)</formula>
    </cfRule>
  </conditionalFormatting>
  <conditionalFormatting sqref="AT164 AT178">
    <cfRule type="containsErrors" dxfId="1592" priority="2092">
      <formula>ISERROR(AT164)</formula>
    </cfRule>
  </conditionalFormatting>
  <conditionalFormatting sqref="AH163">
    <cfRule type="containsErrors" dxfId="1591" priority="2090">
      <formula>ISERROR(AH163)</formula>
    </cfRule>
  </conditionalFormatting>
  <conditionalFormatting sqref="AS163">
    <cfRule type="containsErrors" dxfId="1590" priority="2089">
      <formula>ISERROR(AS163)</formula>
    </cfRule>
  </conditionalFormatting>
  <conditionalFormatting sqref="BD164:BD178">
    <cfRule type="containsErrors" dxfId="1589" priority="2088">
      <formula>ISERROR(BD164)</formula>
    </cfRule>
  </conditionalFormatting>
  <conditionalFormatting sqref="BD163">
    <cfRule type="containsErrors" dxfId="1588" priority="2087">
      <formula>ISERROR(BD163)</formula>
    </cfRule>
  </conditionalFormatting>
  <conditionalFormatting sqref="AI165:AI177">
    <cfRule type="containsErrors" dxfId="1587" priority="2084">
      <formula>ISERROR(AI165)</formula>
    </cfRule>
  </conditionalFormatting>
  <conditionalFormatting sqref="AV339:AV340">
    <cfRule type="containsErrors" dxfId="1586" priority="1790">
      <formula>ISERROR(AV339)</formula>
    </cfRule>
  </conditionalFormatting>
  <conditionalFormatting sqref="AT165:AT177">
    <cfRule type="containsErrors" dxfId="1585" priority="2083">
      <formula>ISERROR(AT165)</formula>
    </cfRule>
  </conditionalFormatting>
  <conditionalFormatting sqref="AG188">
    <cfRule type="containsErrors" dxfId="1584" priority="2081">
      <formula>ISERROR(AG188)</formula>
    </cfRule>
  </conditionalFormatting>
  <conditionalFormatting sqref="AR188">
    <cfRule type="containsErrors" dxfId="1583" priority="2080">
      <formula>ISERROR(AR188)</formula>
    </cfRule>
  </conditionalFormatting>
  <conditionalFormatting sqref="BC188">
    <cfRule type="containsErrors" dxfId="1582" priority="2079">
      <formula>ISERROR(BC188)</formula>
    </cfRule>
  </conditionalFormatting>
  <conditionalFormatting sqref="L211:L212">
    <cfRule type="containsErrors" dxfId="1581" priority="2078">
      <formula>ISERROR(L211)</formula>
    </cfRule>
  </conditionalFormatting>
  <conditionalFormatting sqref="U205:V205">
    <cfRule type="containsErrors" dxfId="1580" priority="2077">
      <formula>ISERROR(U205)</formula>
    </cfRule>
  </conditionalFormatting>
  <conditionalFormatting sqref="AA205">
    <cfRule type="containsErrors" dxfId="1579" priority="2076">
      <formula>ISERROR(AA205)</formula>
    </cfRule>
  </conditionalFormatting>
  <conditionalFormatting sqref="AB208:AH211 AL208:AS211 AW208:BC211 N211 Z208:Z211 AJ212:AS212 AJ205:AS207 AJ208:AJ211 AU212:BC212 AU205:BC207 AU208:AU211 U205:X210">
    <cfRule type="containsErrors" dxfId="1578" priority="2075">
      <formula>ISERROR(N205)</formula>
    </cfRule>
  </conditionalFormatting>
  <conditionalFormatting sqref="O211">
    <cfRule type="containsErrors" dxfId="1577" priority="2074">
      <formula>ISERROR(O211)</formula>
    </cfRule>
  </conditionalFormatting>
  <conditionalFormatting sqref="AA338">
    <cfRule type="containsErrors" dxfId="1576" priority="1797">
      <formula>ISERROR(AA338)</formula>
    </cfRule>
  </conditionalFormatting>
  <conditionalFormatting sqref="AK341">
    <cfRule type="containsErrors" dxfId="1575" priority="1796">
      <formula>ISERROR(AK341)</formula>
    </cfRule>
  </conditionalFormatting>
  <conditionalFormatting sqref="AA211">
    <cfRule type="containsErrors" dxfId="1574" priority="2070">
      <formula>ISERROR(AA211)</formula>
    </cfRule>
  </conditionalFormatting>
  <conditionalFormatting sqref="AA210">
    <cfRule type="containsErrors" dxfId="1573" priority="2069">
      <formula>ISERROR(AA210)</formula>
    </cfRule>
  </conditionalFormatting>
  <conditionalFormatting sqref="AA209:AA210">
    <cfRule type="containsErrors" dxfId="1572" priority="2068">
      <formula>ISERROR(AA209)</formula>
    </cfRule>
  </conditionalFormatting>
  <conditionalFormatting sqref="AA208">
    <cfRule type="containsErrors" dxfId="1571" priority="2067">
      <formula>ISERROR(AA208)</formula>
    </cfRule>
  </conditionalFormatting>
  <conditionalFormatting sqref="AK211">
    <cfRule type="containsErrors" dxfId="1570" priority="2066">
      <formula>ISERROR(AK211)</formula>
    </cfRule>
  </conditionalFormatting>
  <conditionalFormatting sqref="AK210">
    <cfRule type="containsErrors" dxfId="1569" priority="2065">
      <formula>ISERROR(AK210)</formula>
    </cfRule>
  </conditionalFormatting>
  <conditionalFormatting sqref="AK209:AK210">
    <cfRule type="containsErrors" dxfId="1568" priority="2064">
      <formula>ISERROR(AK209)</formula>
    </cfRule>
  </conditionalFormatting>
  <conditionalFormatting sqref="AK208">
    <cfRule type="containsErrors" dxfId="1567" priority="2063">
      <formula>ISERROR(AK208)</formula>
    </cfRule>
  </conditionalFormatting>
  <conditionalFormatting sqref="AV211">
    <cfRule type="containsErrors" dxfId="1566" priority="2062">
      <formula>ISERROR(AV211)</formula>
    </cfRule>
  </conditionalFormatting>
  <conditionalFormatting sqref="AV210">
    <cfRule type="containsErrors" dxfId="1565" priority="2061">
      <formula>ISERROR(AV210)</formula>
    </cfRule>
  </conditionalFormatting>
  <conditionalFormatting sqref="AV209:AV210">
    <cfRule type="containsErrors" dxfId="1564" priority="2060">
      <formula>ISERROR(AV209)</formula>
    </cfRule>
  </conditionalFormatting>
  <conditionalFormatting sqref="AV208">
    <cfRule type="containsErrors" dxfId="1563" priority="2059">
      <formula>ISERROR(AV208)</formula>
    </cfRule>
  </conditionalFormatting>
  <conditionalFormatting sqref="BD335:BD342">
    <cfRule type="containsErrors" dxfId="1562" priority="1782">
      <formula>ISERROR(BD335)</formula>
    </cfRule>
  </conditionalFormatting>
  <conditionalFormatting sqref="AT335:AT342">
    <cfRule type="containsErrors" dxfId="1561" priority="1783">
      <formula>ISERROR(AT335)</formula>
    </cfRule>
  </conditionalFormatting>
  <conditionalFormatting sqref="M211:M212">
    <cfRule type="containsErrors" dxfId="1560" priority="2056">
      <formula>ISERROR(M211)</formula>
    </cfRule>
  </conditionalFormatting>
  <conditionalFormatting sqref="Y205:Y212">
    <cfRule type="containsErrors" dxfId="1559" priority="2055">
      <formula>ISERROR(Y205)</formula>
    </cfRule>
  </conditionalFormatting>
  <conditionalFormatting sqref="AI205:AI212">
    <cfRule type="containsErrors" dxfId="1558" priority="2054">
      <formula>ISERROR(AI205)</formula>
    </cfRule>
  </conditionalFormatting>
  <conditionalFormatting sqref="AT205:AT212">
    <cfRule type="containsErrors" dxfId="1557" priority="2053">
      <formula>ISERROR(AT205)</formula>
    </cfRule>
  </conditionalFormatting>
  <conditionalFormatting sqref="BD205:BD212">
    <cfRule type="containsErrors" dxfId="1556" priority="2052">
      <formula>ISERROR(BD205)</formula>
    </cfRule>
  </conditionalFormatting>
  <conditionalFormatting sqref="BC191:BC203 AR191:AS203 AG191:AH203 AB191:AD203 U204:X204 AB190:AH190 AJ190:AS190 AJ204:AS204 AJ191:AO203 AU190:BC190 AU204:BC204 AU191:AZ203">
    <cfRule type="containsErrors" dxfId="1555" priority="2051">
      <formula>ISERROR(U190)</formula>
    </cfRule>
  </conditionalFormatting>
  <conditionalFormatting sqref="AG189">
    <cfRule type="containsErrors" dxfId="1554" priority="2049">
      <formula>ISERROR(AG189)</formula>
    </cfRule>
  </conditionalFormatting>
  <conditionalFormatting sqref="AR189">
    <cfRule type="containsErrors" dxfId="1553" priority="2048">
      <formula>ISERROR(AR189)</formula>
    </cfRule>
  </conditionalFormatting>
  <conditionalFormatting sqref="BC189">
    <cfRule type="containsErrors" dxfId="1552" priority="2047">
      <formula>ISERROR(BC189)</formula>
    </cfRule>
  </conditionalFormatting>
  <conditionalFormatting sqref="AE191:AF203">
    <cfRule type="containsErrors" dxfId="1551" priority="2046">
      <formula>ISERROR(AE191)</formula>
    </cfRule>
  </conditionalFormatting>
  <conditionalFormatting sqref="AP191:AQ203">
    <cfRule type="containsErrors" dxfId="1550" priority="2045">
      <formula>ISERROR(AP191)</formula>
    </cfRule>
  </conditionalFormatting>
  <conditionalFormatting sqref="BA191:BB203">
    <cfRule type="containsErrors" dxfId="1549" priority="2044">
      <formula>ISERROR(BA191)</formula>
    </cfRule>
  </conditionalFormatting>
  <conditionalFormatting sqref="AK365:AK366">
    <cfRule type="containsErrors" dxfId="1548" priority="1740">
      <formula>ISERROR(AK365)</formula>
    </cfRule>
  </conditionalFormatting>
  <conditionalFormatting sqref="AH319">
    <cfRule type="containsErrors" dxfId="1547" priority="1766">
      <formula>ISERROR(AH319)</formula>
    </cfRule>
  </conditionalFormatting>
  <conditionalFormatting sqref="Y204">
    <cfRule type="containsErrors" dxfId="1546" priority="2040">
      <formula>ISERROR(Y204)</formula>
    </cfRule>
  </conditionalFormatting>
  <conditionalFormatting sqref="AI190 AI204">
    <cfRule type="containsErrors" dxfId="1545" priority="2039">
      <formula>ISERROR(AI190)</formula>
    </cfRule>
  </conditionalFormatting>
  <conditionalFormatting sqref="AT190 AT204">
    <cfRule type="containsErrors" dxfId="1544" priority="2038">
      <formula>ISERROR(AT190)</formula>
    </cfRule>
  </conditionalFormatting>
  <conditionalFormatting sqref="AH189">
    <cfRule type="containsErrors" dxfId="1543" priority="2036">
      <formula>ISERROR(AH189)</formula>
    </cfRule>
  </conditionalFormatting>
  <conditionalFormatting sqref="AS189">
    <cfRule type="containsErrors" dxfId="1542" priority="2035">
      <formula>ISERROR(AS189)</formula>
    </cfRule>
  </conditionalFormatting>
  <conditionalFormatting sqref="BD190:BD204">
    <cfRule type="containsErrors" dxfId="1541" priority="2034">
      <formula>ISERROR(BD190)</formula>
    </cfRule>
  </conditionalFormatting>
  <conditionalFormatting sqref="BD189">
    <cfRule type="containsErrors" dxfId="1540" priority="2033">
      <formula>ISERROR(BD189)</formula>
    </cfRule>
  </conditionalFormatting>
  <conditionalFormatting sqref="AI191:AI203">
    <cfRule type="containsErrors" dxfId="1539" priority="2030">
      <formula>ISERROR(AI191)</formula>
    </cfRule>
  </conditionalFormatting>
  <conditionalFormatting sqref="AG344">
    <cfRule type="containsErrors" dxfId="1538" priority="1757">
      <formula>ISERROR(AG344)</formula>
    </cfRule>
  </conditionalFormatting>
  <conditionalFormatting sqref="AT191:AT203">
    <cfRule type="containsErrors" dxfId="1537" priority="2029">
      <formula>ISERROR(AT191)</formula>
    </cfRule>
  </conditionalFormatting>
  <conditionalFormatting sqref="AS215">
    <cfRule type="containsErrors" dxfId="1536" priority="1981">
      <formula>ISERROR(AS215)</formula>
    </cfRule>
  </conditionalFormatting>
  <conditionalFormatting sqref="AG214">
    <cfRule type="containsErrors" dxfId="1535" priority="2027">
      <formula>ISERROR(AG214)</formula>
    </cfRule>
  </conditionalFormatting>
  <conditionalFormatting sqref="AR214">
    <cfRule type="containsErrors" dxfId="1534" priority="2026">
      <formula>ISERROR(AR214)</formula>
    </cfRule>
  </conditionalFormatting>
  <conditionalFormatting sqref="BC214">
    <cfRule type="containsErrors" dxfId="1533" priority="2025">
      <formula>ISERROR(BC214)</formula>
    </cfRule>
  </conditionalFormatting>
  <conditionalFormatting sqref="L237:L238">
    <cfRule type="containsErrors" dxfId="1532" priority="2024">
      <formula>ISERROR(L237)</formula>
    </cfRule>
  </conditionalFormatting>
  <conditionalFormatting sqref="U231:V231">
    <cfRule type="containsErrors" dxfId="1531" priority="2023">
      <formula>ISERROR(U231)</formula>
    </cfRule>
  </conditionalFormatting>
  <conditionalFormatting sqref="AA231">
    <cfRule type="containsErrors" dxfId="1530" priority="2022">
      <formula>ISERROR(AA231)</formula>
    </cfRule>
  </conditionalFormatting>
  <conditionalFormatting sqref="AB234:AH237 AL234:AS237 AW234:BC237 N237 Z234:Z237 AJ238:AS238 AJ231:AS233 AJ234:AJ237 AU238:BC238 AU231:BC233 AU234:AU237 U231:X236">
    <cfRule type="containsErrors" dxfId="1529" priority="2021">
      <formula>ISERROR(N231)</formula>
    </cfRule>
  </conditionalFormatting>
  <conditionalFormatting sqref="O237">
    <cfRule type="containsErrors" dxfId="1528" priority="2020">
      <formula>ISERROR(O237)</formula>
    </cfRule>
  </conditionalFormatting>
  <conditionalFormatting sqref="AI320 AI334">
    <cfRule type="containsErrors" dxfId="1527" priority="1769">
      <formula>ISERROR(AI320)</formula>
    </cfRule>
  </conditionalFormatting>
  <conditionalFormatting sqref="AT320 AT334">
    <cfRule type="containsErrors" dxfId="1526" priority="1768">
      <formula>ISERROR(AT320)</formula>
    </cfRule>
  </conditionalFormatting>
  <conditionalFormatting sqref="AA237">
    <cfRule type="containsErrors" dxfId="1525" priority="2016">
      <formula>ISERROR(AA237)</formula>
    </cfRule>
  </conditionalFormatting>
  <conditionalFormatting sqref="AA236">
    <cfRule type="containsErrors" dxfId="1524" priority="2015">
      <formula>ISERROR(AA236)</formula>
    </cfRule>
  </conditionalFormatting>
  <conditionalFormatting sqref="AA235:AA236">
    <cfRule type="containsErrors" dxfId="1523" priority="2014">
      <formula>ISERROR(AA235)</formula>
    </cfRule>
  </conditionalFormatting>
  <conditionalFormatting sqref="AA234">
    <cfRule type="containsErrors" dxfId="1522" priority="2013">
      <formula>ISERROR(AA234)</formula>
    </cfRule>
  </conditionalFormatting>
  <conditionalFormatting sqref="AK237">
    <cfRule type="containsErrors" dxfId="1521" priority="2012">
      <formula>ISERROR(AK237)</formula>
    </cfRule>
  </conditionalFormatting>
  <conditionalFormatting sqref="AK236">
    <cfRule type="containsErrors" dxfId="1520" priority="2011">
      <formula>ISERROR(AK236)</formula>
    </cfRule>
  </conditionalFormatting>
  <conditionalFormatting sqref="AK235:AK236">
    <cfRule type="containsErrors" dxfId="1519" priority="2010">
      <formula>ISERROR(AK235)</formula>
    </cfRule>
  </conditionalFormatting>
  <conditionalFormatting sqref="AK234">
    <cfRule type="containsErrors" dxfId="1518" priority="2009">
      <formula>ISERROR(AK234)</formula>
    </cfRule>
  </conditionalFormatting>
  <conditionalFormatting sqref="AV237">
    <cfRule type="containsErrors" dxfId="1517" priority="2008">
      <formula>ISERROR(AV237)</formula>
    </cfRule>
  </conditionalFormatting>
  <conditionalFormatting sqref="AV236">
    <cfRule type="containsErrors" dxfId="1516" priority="2007">
      <formula>ISERROR(AV236)</formula>
    </cfRule>
  </conditionalFormatting>
  <conditionalFormatting sqref="AV235:AV236">
    <cfRule type="containsErrors" dxfId="1515" priority="2006">
      <formula>ISERROR(AV235)</formula>
    </cfRule>
  </conditionalFormatting>
  <conditionalFormatting sqref="AV234">
    <cfRule type="containsErrors" dxfId="1514" priority="2005">
      <formula>ISERROR(AV234)</formula>
    </cfRule>
  </conditionalFormatting>
  <conditionalFormatting sqref="L367:L368">
    <cfRule type="containsErrors" dxfId="1513" priority="1754">
      <formula>ISERROR(L367)</formula>
    </cfRule>
  </conditionalFormatting>
  <conditionalFormatting sqref="BC344">
    <cfRule type="containsErrors" dxfId="1512" priority="1755">
      <formula>ISERROR(BC344)</formula>
    </cfRule>
  </conditionalFormatting>
  <conditionalFormatting sqref="M237:M238">
    <cfRule type="containsErrors" dxfId="1511" priority="2002">
      <formula>ISERROR(M237)</formula>
    </cfRule>
  </conditionalFormatting>
  <conditionalFormatting sqref="Y231:Y238">
    <cfRule type="containsErrors" dxfId="1510" priority="2001">
      <formula>ISERROR(Y231)</formula>
    </cfRule>
  </conditionalFormatting>
  <conditionalFormatting sqref="AI231:AI238">
    <cfRule type="containsErrors" dxfId="1509" priority="2000">
      <formula>ISERROR(AI231)</formula>
    </cfRule>
  </conditionalFormatting>
  <conditionalFormatting sqref="AT231:AT238">
    <cfRule type="containsErrors" dxfId="1508" priority="1999">
      <formula>ISERROR(AT231)</formula>
    </cfRule>
  </conditionalFormatting>
  <conditionalFormatting sqref="BD231:BD238">
    <cfRule type="containsErrors" dxfId="1507" priority="1998">
      <formula>ISERROR(BD231)</formula>
    </cfRule>
  </conditionalFormatting>
  <conditionalFormatting sqref="BC217:BC229 AR217:AS229 AG217:AH229 AB217:AD229 U230:X230 AB216:AH216 AJ216:AS216 AJ230:AS230 AJ217:AO229 AU216:BC216 AU230:BC230 AU217:AZ229">
    <cfRule type="containsErrors" dxfId="1506" priority="1997">
      <formula>ISERROR(U216)</formula>
    </cfRule>
  </conditionalFormatting>
  <conditionalFormatting sqref="AG215">
    <cfRule type="containsErrors" dxfId="1505" priority="1995">
      <formula>ISERROR(AG215)</formula>
    </cfRule>
  </conditionalFormatting>
  <conditionalFormatting sqref="AR215">
    <cfRule type="containsErrors" dxfId="1504" priority="1994">
      <formula>ISERROR(AR215)</formula>
    </cfRule>
  </conditionalFormatting>
  <conditionalFormatting sqref="BC215">
    <cfRule type="containsErrors" dxfId="1503" priority="1993">
      <formula>ISERROR(BC215)</formula>
    </cfRule>
  </conditionalFormatting>
  <conditionalFormatting sqref="AE217:AF229">
    <cfRule type="containsErrors" dxfId="1502" priority="1992">
      <formula>ISERROR(AE217)</formula>
    </cfRule>
  </conditionalFormatting>
  <conditionalFormatting sqref="AP217:AQ229">
    <cfRule type="containsErrors" dxfId="1501" priority="1991">
      <formula>ISERROR(AP217)</formula>
    </cfRule>
  </conditionalFormatting>
  <conditionalFormatting sqref="BA217:BB229">
    <cfRule type="containsErrors" dxfId="1500" priority="1990">
      <formula>ISERROR(BA217)</formula>
    </cfRule>
  </conditionalFormatting>
  <conditionalFormatting sqref="AK364">
    <cfRule type="containsErrors" dxfId="1499" priority="1739">
      <formula>ISERROR(AK364)</formula>
    </cfRule>
  </conditionalFormatting>
  <conditionalFormatting sqref="AV367">
    <cfRule type="containsErrors" dxfId="1498" priority="1738">
      <formula>ISERROR(AV367)</formula>
    </cfRule>
  </conditionalFormatting>
  <conditionalFormatting sqref="Y230">
    <cfRule type="containsErrors" dxfId="1497" priority="1986">
      <formula>ISERROR(Y230)</formula>
    </cfRule>
  </conditionalFormatting>
  <conditionalFormatting sqref="AI216 AI230">
    <cfRule type="containsErrors" dxfId="1496" priority="1985">
      <formula>ISERROR(AI216)</formula>
    </cfRule>
  </conditionalFormatting>
  <conditionalFormatting sqref="AT216 AT230">
    <cfRule type="containsErrors" dxfId="1495" priority="1984">
      <formula>ISERROR(AT216)</formula>
    </cfRule>
  </conditionalFormatting>
  <conditionalFormatting sqref="BA243:BB255">
    <cfRule type="containsErrors" dxfId="1494" priority="1936">
      <formula>ISERROR(BA243)</formula>
    </cfRule>
  </conditionalFormatting>
  <conditionalFormatting sqref="AH215">
    <cfRule type="containsErrors" dxfId="1493" priority="1982">
      <formula>ISERROR(AH215)</formula>
    </cfRule>
  </conditionalFormatting>
  <conditionalFormatting sqref="BD216:BD230">
    <cfRule type="containsErrors" dxfId="1492" priority="1980">
      <formula>ISERROR(BD216)</formula>
    </cfRule>
  </conditionalFormatting>
  <conditionalFormatting sqref="BD215">
    <cfRule type="containsErrors" dxfId="1491" priority="1979">
      <formula>ISERROR(BD215)</formula>
    </cfRule>
  </conditionalFormatting>
  <conditionalFormatting sqref="AI217:AI229">
    <cfRule type="containsErrors" dxfId="1490" priority="1976">
      <formula>ISERROR(AI217)</formula>
    </cfRule>
  </conditionalFormatting>
  <conditionalFormatting sqref="AT361:AT368">
    <cfRule type="containsErrors" dxfId="1489" priority="1729">
      <formula>ISERROR(AT361)</formula>
    </cfRule>
  </conditionalFormatting>
  <conditionalFormatting sqref="AT242 AT256">
    <cfRule type="containsErrors" dxfId="1488" priority="1930">
      <formula>ISERROR(AT242)</formula>
    </cfRule>
  </conditionalFormatting>
  <conditionalFormatting sqref="AT217:AT229">
    <cfRule type="containsErrors" dxfId="1487" priority="1975">
      <formula>ISERROR(AT217)</formula>
    </cfRule>
  </conditionalFormatting>
  <conditionalFormatting sqref="Y256">
    <cfRule type="containsErrors" dxfId="1486" priority="1932">
      <formula>ISERROR(Y256)</formula>
    </cfRule>
  </conditionalFormatting>
  <conditionalFormatting sqref="AG240">
    <cfRule type="containsErrors" dxfId="1485" priority="1973">
      <formula>ISERROR(AG240)</formula>
    </cfRule>
  </conditionalFormatting>
  <conditionalFormatting sqref="AR240">
    <cfRule type="containsErrors" dxfId="1484" priority="1972">
      <formula>ISERROR(AR240)</formula>
    </cfRule>
  </conditionalFormatting>
  <conditionalFormatting sqref="BC240">
    <cfRule type="containsErrors" dxfId="1483" priority="1971">
      <formula>ISERROR(BC240)</formula>
    </cfRule>
  </conditionalFormatting>
  <conditionalFormatting sqref="L263:L264">
    <cfRule type="containsErrors" dxfId="1482" priority="1970">
      <formula>ISERROR(L263)</formula>
    </cfRule>
  </conditionalFormatting>
  <conditionalFormatting sqref="U257:V257">
    <cfRule type="containsErrors" dxfId="1481" priority="1969">
      <formula>ISERROR(U257)</formula>
    </cfRule>
  </conditionalFormatting>
  <conditionalFormatting sqref="AA257">
    <cfRule type="containsErrors" dxfId="1480" priority="1968">
      <formula>ISERROR(AA257)</formula>
    </cfRule>
  </conditionalFormatting>
  <conditionalFormatting sqref="AB260:AH263 AL260:AS263 AW260:BC263 N263 Z260:Z263 AJ264:AS264 AJ257:AS259 AJ260:AJ263 AU264:BC264 AU257:BC259 AU260:AU263 U257:X262">
    <cfRule type="containsErrors" dxfId="1479" priority="1967">
      <formula>ISERROR(N257)</formula>
    </cfRule>
  </conditionalFormatting>
  <conditionalFormatting sqref="O263">
    <cfRule type="containsErrors" dxfId="1478" priority="1966">
      <formula>ISERROR(O263)</formula>
    </cfRule>
  </conditionalFormatting>
  <conditionalFormatting sqref="AV366">
    <cfRule type="containsErrors" dxfId="1477" priority="1737">
      <formula>ISERROR(AV366)</formula>
    </cfRule>
  </conditionalFormatting>
  <conditionalFormatting sqref="AV365:AV366">
    <cfRule type="containsErrors" dxfId="1476" priority="1736">
      <formula>ISERROR(AV365)</formula>
    </cfRule>
  </conditionalFormatting>
  <conditionalFormatting sqref="AV364">
    <cfRule type="containsErrors" dxfId="1475" priority="1735">
      <formula>ISERROR(AV364)</formula>
    </cfRule>
  </conditionalFormatting>
  <conditionalFormatting sqref="AA263">
    <cfRule type="containsErrors" dxfId="1474" priority="1962">
      <formula>ISERROR(AA263)</formula>
    </cfRule>
  </conditionalFormatting>
  <conditionalFormatting sqref="AA262">
    <cfRule type="containsErrors" dxfId="1473" priority="1961">
      <formula>ISERROR(AA262)</formula>
    </cfRule>
  </conditionalFormatting>
  <conditionalFormatting sqref="AA261:AA262">
    <cfRule type="containsErrors" dxfId="1472" priority="1960">
      <formula>ISERROR(AA261)</formula>
    </cfRule>
  </conditionalFormatting>
  <conditionalFormatting sqref="AA260">
    <cfRule type="containsErrors" dxfId="1471" priority="1959">
      <formula>ISERROR(AA260)</formula>
    </cfRule>
  </conditionalFormatting>
  <conditionalFormatting sqref="AK263">
    <cfRule type="containsErrors" dxfId="1470" priority="1958">
      <formula>ISERROR(AK263)</formula>
    </cfRule>
  </conditionalFormatting>
  <conditionalFormatting sqref="AK262">
    <cfRule type="containsErrors" dxfId="1469" priority="1957">
      <formula>ISERROR(AK262)</formula>
    </cfRule>
  </conditionalFormatting>
  <conditionalFormatting sqref="AK261:AK262">
    <cfRule type="containsErrors" dxfId="1468" priority="1956">
      <formula>ISERROR(AK261)</formula>
    </cfRule>
  </conditionalFormatting>
  <conditionalFormatting sqref="AK260">
    <cfRule type="containsErrors" dxfId="1467" priority="1955">
      <formula>ISERROR(AK260)</formula>
    </cfRule>
  </conditionalFormatting>
  <conditionalFormatting sqref="AV263">
    <cfRule type="containsErrors" dxfId="1466" priority="1954">
      <formula>ISERROR(AV263)</formula>
    </cfRule>
  </conditionalFormatting>
  <conditionalFormatting sqref="AV262">
    <cfRule type="containsErrors" dxfId="1465" priority="1953">
      <formula>ISERROR(AV262)</formula>
    </cfRule>
  </conditionalFormatting>
  <conditionalFormatting sqref="AV261:AV262">
    <cfRule type="containsErrors" dxfId="1464" priority="1952">
      <formula>ISERROR(AV261)</formula>
    </cfRule>
  </conditionalFormatting>
  <conditionalFormatting sqref="AV260">
    <cfRule type="containsErrors" dxfId="1463" priority="1951">
      <formula>ISERROR(AV260)</formula>
    </cfRule>
  </conditionalFormatting>
  <conditionalFormatting sqref="AP347:AQ359">
    <cfRule type="containsErrors" dxfId="1462" priority="1721">
      <formula>ISERROR(AP347)</formula>
    </cfRule>
  </conditionalFormatting>
  <conditionalFormatting sqref="AE347:AF359">
    <cfRule type="containsErrors" dxfId="1461" priority="1722">
      <formula>ISERROR(AE347)</formula>
    </cfRule>
  </conditionalFormatting>
  <conditionalFormatting sqref="M263:M264">
    <cfRule type="containsErrors" dxfId="1460" priority="1948">
      <formula>ISERROR(M263)</formula>
    </cfRule>
  </conditionalFormatting>
  <conditionalFormatting sqref="Y257:Y264">
    <cfRule type="containsErrors" dxfId="1459" priority="1947">
      <formula>ISERROR(Y257)</formula>
    </cfRule>
  </conditionalFormatting>
  <conditionalFormatting sqref="AI257:AI264">
    <cfRule type="containsErrors" dxfId="1458" priority="1946">
      <formula>ISERROR(AI257)</formula>
    </cfRule>
  </conditionalFormatting>
  <conditionalFormatting sqref="AT257:AT264">
    <cfRule type="containsErrors" dxfId="1457" priority="1945">
      <formula>ISERROR(AT257)</formula>
    </cfRule>
  </conditionalFormatting>
  <conditionalFormatting sqref="BD257:BD264">
    <cfRule type="containsErrors" dxfId="1456" priority="1944">
      <formula>ISERROR(BD257)</formula>
    </cfRule>
  </conditionalFormatting>
  <conditionalFormatting sqref="BC243:BC255 AR243:AS255 AG243:AH255 AB243:AD255 U256:X256 AB242:AH242 AJ242:AS242 AJ256:AS256 AJ243:AO255 AU242:BC242 AU256:BC256 AU243:AZ255">
    <cfRule type="containsErrors" dxfId="1455" priority="1943">
      <formula>ISERROR(U242)</formula>
    </cfRule>
  </conditionalFormatting>
  <conditionalFormatting sqref="AV289">
    <cfRule type="containsErrors" dxfId="1454" priority="1900">
      <formula>ISERROR(AV289)</formula>
    </cfRule>
  </conditionalFormatting>
  <conditionalFormatting sqref="AG241">
    <cfRule type="containsErrors" dxfId="1453" priority="1941">
      <formula>ISERROR(AG241)</formula>
    </cfRule>
  </conditionalFormatting>
  <conditionalFormatting sqref="AR241">
    <cfRule type="containsErrors" dxfId="1452" priority="1940">
      <formula>ISERROR(AR241)</formula>
    </cfRule>
  </conditionalFormatting>
  <conditionalFormatting sqref="BC241">
    <cfRule type="containsErrors" dxfId="1451" priority="1939">
      <formula>ISERROR(BC241)</formula>
    </cfRule>
  </conditionalFormatting>
  <conditionalFormatting sqref="AE243:AF255">
    <cfRule type="containsErrors" dxfId="1450" priority="1938">
      <formula>ISERROR(AE243)</formula>
    </cfRule>
  </conditionalFormatting>
  <conditionalFormatting sqref="AP243:AQ255">
    <cfRule type="containsErrors" dxfId="1449" priority="1937">
      <formula>ISERROR(AP243)</formula>
    </cfRule>
  </conditionalFormatting>
  <conditionalFormatting sqref="Y283:Y290">
    <cfRule type="containsErrors" dxfId="1448" priority="1893">
      <formula>ISERROR(Y283)</formula>
    </cfRule>
  </conditionalFormatting>
  <conditionalFormatting sqref="AI347:AI359">
    <cfRule type="containsErrors" dxfId="1447" priority="1706">
      <formula>ISERROR(AI347)</formula>
    </cfRule>
  </conditionalFormatting>
  <conditionalFormatting sqref="AT347:AT359">
    <cfRule type="containsErrors" dxfId="1446" priority="1705">
      <formula>ISERROR(AT347)</formula>
    </cfRule>
  </conditionalFormatting>
  <conditionalFormatting sqref="AI242 AI256">
    <cfRule type="containsErrors" dxfId="1445" priority="1931">
      <formula>ISERROR(AI242)</formula>
    </cfRule>
  </conditionalFormatting>
  <conditionalFormatting sqref="AS241">
    <cfRule type="containsErrors" dxfId="1444" priority="1927">
      <formula>ISERROR(AS241)</formula>
    </cfRule>
  </conditionalFormatting>
  <conditionalFormatting sqref="BD242:BD256">
    <cfRule type="containsErrors" dxfId="1443" priority="1926">
      <formula>ISERROR(BD242)</formula>
    </cfRule>
  </conditionalFormatting>
  <conditionalFormatting sqref="BD241">
    <cfRule type="containsErrors" dxfId="1442" priority="1925">
      <formula>ISERROR(BD241)</formula>
    </cfRule>
  </conditionalFormatting>
  <conditionalFormatting sqref="AI243:AI255">
    <cfRule type="containsErrors" dxfId="1441" priority="1922">
      <formula>ISERROR(AI243)</formula>
    </cfRule>
  </conditionalFormatting>
  <conditionalFormatting sqref="O393">
    <cfRule type="containsErrors" dxfId="1440" priority="1696">
      <formula>ISERROR(O393)</formula>
    </cfRule>
  </conditionalFormatting>
  <conditionalFormatting sqref="AT243:AT255">
    <cfRule type="containsErrors" dxfId="1439" priority="1921">
      <formula>ISERROR(AT243)</formula>
    </cfRule>
  </conditionalFormatting>
  <conditionalFormatting sqref="AP269:AQ281">
    <cfRule type="containsErrors" dxfId="1438" priority="1883">
      <formula>ISERROR(AP269)</formula>
    </cfRule>
  </conditionalFormatting>
  <conditionalFormatting sqref="AG266">
    <cfRule type="containsErrors" dxfId="1437" priority="1919">
      <formula>ISERROR(AG266)</formula>
    </cfRule>
  </conditionalFormatting>
  <conditionalFormatting sqref="AB286:AH289 AL286:AS289 AW286:BC289 N289 Z286:Z289 AJ290:AS290 AJ283:AS285 AJ286:AJ289 AU290:BC290 AU283:BC285 AU286:AU289 U283:X288">
    <cfRule type="containsErrors" dxfId="1436" priority="1913">
      <formula>ISERROR(N283)</formula>
    </cfRule>
  </conditionalFormatting>
  <conditionalFormatting sqref="O289">
    <cfRule type="containsErrors" dxfId="1435" priority="1912">
      <formula>ISERROR(O289)</formula>
    </cfRule>
  </conditionalFormatting>
  <conditionalFormatting sqref="L289:L290">
    <cfRule type="containsErrors" dxfId="1434" priority="1916">
      <formula>ISERROR(L289)</formula>
    </cfRule>
  </conditionalFormatting>
  <conditionalFormatting sqref="U283:V283">
    <cfRule type="containsErrors" dxfId="1433" priority="1915">
      <formula>ISERROR(U283)</formula>
    </cfRule>
  </conditionalFormatting>
  <conditionalFormatting sqref="AA283">
    <cfRule type="containsErrors" dxfId="1432" priority="1914">
      <formula>ISERROR(AA283)</formula>
    </cfRule>
  </conditionalFormatting>
  <conditionalFormatting sqref="T387:U387">
    <cfRule type="containsErrors" dxfId="1431" priority="1699">
      <formula>ISERROR(T387)</formula>
    </cfRule>
  </conditionalFormatting>
  <conditionalFormatting sqref="AG370">
    <cfRule type="containsErrors" dxfId="1430" priority="1703">
      <formula>ISERROR(AG370)</formula>
    </cfRule>
  </conditionalFormatting>
  <conditionalFormatting sqref="AR370">
    <cfRule type="containsErrors" dxfId="1429" priority="1702">
      <formula>ISERROR(AR370)</formula>
    </cfRule>
  </conditionalFormatting>
  <conditionalFormatting sqref="AA289">
    <cfRule type="containsErrors" dxfId="1428" priority="1908">
      <formula>ISERROR(AA289)</formula>
    </cfRule>
  </conditionalFormatting>
  <conditionalFormatting sqref="AA288">
    <cfRule type="containsErrors" dxfId="1427" priority="1907">
      <formula>ISERROR(AA288)</formula>
    </cfRule>
  </conditionalFormatting>
  <conditionalFormatting sqref="AA287:AA288">
    <cfRule type="containsErrors" dxfId="1426" priority="1906">
      <formula>ISERROR(AA287)</formula>
    </cfRule>
  </conditionalFormatting>
  <conditionalFormatting sqref="AA286">
    <cfRule type="containsErrors" dxfId="1425" priority="1905">
      <formula>ISERROR(AA286)</formula>
    </cfRule>
  </conditionalFormatting>
  <conditionalFormatting sqref="AV286">
    <cfRule type="containsErrors" dxfId="1424" priority="1897">
      <formula>ISERROR(AV286)</formula>
    </cfRule>
  </conditionalFormatting>
  <conditionalFormatting sqref="AK288">
    <cfRule type="containsErrors" dxfId="1423" priority="1903">
      <formula>ISERROR(AK288)</formula>
    </cfRule>
  </conditionalFormatting>
  <conditionalFormatting sqref="AK287:AK288">
    <cfRule type="containsErrors" dxfId="1422" priority="1902">
      <formula>ISERROR(AK287)</formula>
    </cfRule>
  </conditionalFormatting>
  <conditionalFormatting sqref="AK286">
    <cfRule type="containsErrors" dxfId="1421" priority="1901">
      <formula>ISERROR(AK286)</formula>
    </cfRule>
  </conditionalFormatting>
  <conditionalFormatting sqref="AV288">
    <cfRule type="containsErrors" dxfId="1420" priority="1899">
      <formula>ISERROR(AV288)</formula>
    </cfRule>
  </conditionalFormatting>
  <conditionalFormatting sqref="AK393">
    <cfRule type="containsErrors" dxfId="1419" priority="1688">
      <formula>ISERROR(AK393)</formula>
    </cfRule>
  </conditionalFormatting>
  <conditionalFormatting sqref="Z390">
    <cfRule type="containsErrors" dxfId="1418" priority="1689">
      <formula>ISERROR(Z390)</formula>
    </cfRule>
  </conditionalFormatting>
  <conditionalFormatting sqref="M289:M290">
    <cfRule type="containsErrors" dxfId="1417" priority="1894">
      <formula>ISERROR(M289)</formula>
    </cfRule>
  </conditionalFormatting>
  <conditionalFormatting sqref="AI283:AI290">
    <cfRule type="containsErrors" dxfId="1416" priority="1892">
      <formula>ISERROR(AI283)</formula>
    </cfRule>
  </conditionalFormatting>
  <conditionalFormatting sqref="AT283:AT290">
    <cfRule type="containsErrors" dxfId="1415" priority="1891">
      <formula>ISERROR(AT283)</formula>
    </cfRule>
  </conditionalFormatting>
  <conditionalFormatting sqref="BD283:BD290">
    <cfRule type="containsErrors" dxfId="1414" priority="1890">
      <formula>ISERROR(BD283)</formula>
    </cfRule>
  </conditionalFormatting>
  <conditionalFormatting sqref="BC269:BC281 AR269:AS281 AG269:AH281 AB269:AD281 U282:X282 AB268:AH268 AJ268:AS268 AJ282:AS282 AJ269:AO281 AU268:BC268 AU282:BC282 AU269:AZ281">
    <cfRule type="containsErrors" dxfId="1413" priority="1889">
      <formula>ISERROR(U268)</formula>
    </cfRule>
  </conditionalFormatting>
  <conditionalFormatting sqref="AR267">
    <cfRule type="containsErrors" dxfId="1412" priority="1886">
      <formula>ISERROR(AR267)</formula>
    </cfRule>
  </conditionalFormatting>
  <conditionalFormatting sqref="BC267">
    <cfRule type="containsErrors" dxfId="1411" priority="1885">
      <formula>ISERROR(BC267)</formula>
    </cfRule>
  </conditionalFormatting>
  <conditionalFormatting sqref="AE269:AF281">
    <cfRule type="containsErrors" dxfId="1410" priority="1884">
      <formula>ISERROR(AE269)</formula>
    </cfRule>
  </conditionalFormatting>
  <conditionalFormatting sqref="AI268 AI282">
    <cfRule type="containsErrors" dxfId="1409" priority="1877">
      <formula>ISERROR(AI268)</formula>
    </cfRule>
  </conditionalFormatting>
  <conditionalFormatting sqref="AT268 AT282">
    <cfRule type="containsErrors" dxfId="1408" priority="1876">
      <formula>ISERROR(AT268)</formula>
    </cfRule>
  </conditionalFormatting>
  <conditionalFormatting sqref="BC373:BC385 AR373:AS385 AG373:AH385 AB373:AD385 S386:W386 AB372:AH372 Y386:AH386 AJ372:AS372 AJ386:AS386 AJ373:AO385 AU372:BC372 AU386:BC386 AU373:AZ385">
    <cfRule type="containsErrors" dxfId="1407" priority="1673">
      <formula>ISERROR(S372)</formula>
    </cfRule>
  </conditionalFormatting>
  <conditionalFormatting sqref="BD371">
    <cfRule type="containsErrors" dxfId="1406" priority="1655">
      <formula>ISERROR(BD371)</formula>
    </cfRule>
  </conditionalFormatting>
  <conditionalFormatting sqref="AS267">
    <cfRule type="containsErrors" dxfId="1405" priority="1873">
      <formula>ISERROR(AS267)</formula>
    </cfRule>
  </conditionalFormatting>
  <conditionalFormatting sqref="AH267">
    <cfRule type="containsErrors" dxfId="1404" priority="1874">
      <formula>ISERROR(AH267)</formula>
    </cfRule>
  </conditionalFormatting>
  <conditionalFormatting sqref="BD267">
    <cfRule type="containsErrors" dxfId="1403" priority="1871">
      <formula>ISERROR(BD267)</formula>
    </cfRule>
  </conditionalFormatting>
  <conditionalFormatting sqref="BD268:BD282">
    <cfRule type="containsErrors" dxfId="1402" priority="1872">
      <formula>ISERROR(BD268)</formula>
    </cfRule>
  </conditionalFormatting>
  <conditionalFormatting sqref="AH371">
    <cfRule type="containsErrors" dxfId="1401" priority="1658">
      <formula>ISERROR(AH371)</formula>
    </cfRule>
  </conditionalFormatting>
  <conditionalFormatting sqref="AR293">
    <cfRule type="containsErrors" dxfId="1400" priority="1832">
      <formula>ISERROR(AR293)</formula>
    </cfRule>
  </conditionalFormatting>
  <conditionalFormatting sqref="AA309">
    <cfRule type="containsErrors" dxfId="1399" priority="1860">
      <formula>ISERROR(AA309)</formula>
    </cfRule>
  </conditionalFormatting>
  <conditionalFormatting sqref="AG292">
    <cfRule type="containsErrors" dxfId="1398" priority="1865">
      <formula>ISERROR(AG292)</formula>
    </cfRule>
  </conditionalFormatting>
  <conditionalFormatting sqref="AR292">
    <cfRule type="containsErrors" dxfId="1397" priority="1864">
      <formula>ISERROR(AR292)</formula>
    </cfRule>
  </conditionalFormatting>
  <conditionalFormatting sqref="U309:V309">
    <cfRule type="containsErrors" dxfId="1396" priority="1861">
      <formula>ISERROR(U309)</formula>
    </cfRule>
  </conditionalFormatting>
  <conditionalFormatting sqref="AB312:AH315 AL312:AS315 AW312:BC315 N315 Z312:Z315 AJ316:AS316 AJ309:AS311 AJ312:AJ315 AU316:BC316 AU309:BC311 AU312:AU315 U309:X314">
    <cfRule type="containsErrors" dxfId="1395" priority="1859">
      <formula>ISERROR(N309)</formula>
    </cfRule>
  </conditionalFormatting>
  <conditionalFormatting sqref="O315">
    <cfRule type="containsErrors" dxfId="1394" priority="1858">
      <formula>ISERROR(O315)</formula>
    </cfRule>
  </conditionalFormatting>
  <conditionalFormatting sqref="AR371">
    <cfRule type="containsErrors" dxfId="1393" priority="1670">
      <formula>ISERROR(AR371)</formula>
    </cfRule>
  </conditionalFormatting>
  <conditionalFormatting sqref="BC371">
    <cfRule type="containsErrors" dxfId="1392" priority="1669">
      <formula>ISERROR(BC371)</formula>
    </cfRule>
  </conditionalFormatting>
  <conditionalFormatting sqref="AK312">
    <cfRule type="containsErrors" dxfId="1391" priority="1847">
      <formula>ISERROR(AK312)</formula>
    </cfRule>
  </conditionalFormatting>
  <conditionalFormatting sqref="AA314">
    <cfRule type="containsErrors" dxfId="1390" priority="1853">
      <formula>ISERROR(AA314)</formula>
    </cfRule>
  </conditionalFormatting>
  <conditionalFormatting sqref="AV315">
    <cfRule type="containsErrors" dxfId="1389" priority="1846">
      <formula>ISERROR(AV315)</formula>
    </cfRule>
  </conditionalFormatting>
  <conditionalFormatting sqref="AK315">
    <cfRule type="containsErrors" dxfId="1388" priority="1850">
      <formula>ISERROR(AK315)</formula>
    </cfRule>
  </conditionalFormatting>
  <conditionalFormatting sqref="AK314">
    <cfRule type="containsErrors" dxfId="1387" priority="1849">
      <formula>ISERROR(AK314)</formula>
    </cfRule>
  </conditionalFormatting>
  <conditionalFormatting sqref="AV314">
    <cfRule type="containsErrors" dxfId="1386" priority="1845">
      <formula>ISERROR(AV314)</formula>
    </cfRule>
  </conditionalFormatting>
  <conditionalFormatting sqref="AV312">
    <cfRule type="containsErrors" dxfId="1385" priority="1843">
      <formula>ISERROR(AV312)</formula>
    </cfRule>
  </conditionalFormatting>
  <conditionalFormatting sqref="BD372:BD386">
    <cfRule type="containsErrors" dxfId="1384" priority="1656">
      <formula>ISERROR(BD372)</formula>
    </cfRule>
  </conditionalFormatting>
  <conditionalFormatting sqref="M315:M316">
    <cfRule type="containsErrors" dxfId="1383" priority="1840">
      <formula>ISERROR(M315)</formula>
    </cfRule>
  </conditionalFormatting>
  <conditionalFormatting sqref="Y309:Y316">
    <cfRule type="containsErrors" dxfId="1382" priority="1839">
      <formula>ISERROR(Y309)</formula>
    </cfRule>
  </conditionalFormatting>
  <conditionalFormatting sqref="AG293">
    <cfRule type="containsErrors" dxfId="1381" priority="1833">
      <formula>ISERROR(AG293)</formula>
    </cfRule>
  </conditionalFormatting>
  <conditionalFormatting sqref="BD309:BD316">
    <cfRule type="containsErrors" dxfId="1380" priority="1836">
      <formula>ISERROR(BD309)</formula>
    </cfRule>
  </conditionalFormatting>
  <conditionalFormatting sqref="AE295:AF307">
    <cfRule type="containsErrors" dxfId="1379" priority="1830">
      <formula>ISERROR(AE295)</formula>
    </cfRule>
  </conditionalFormatting>
  <conditionalFormatting sqref="AP295:AQ307">
    <cfRule type="containsErrors" dxfId="1378" priority="1829">
      <formula>ISERROR(AP295)</formula>
    </cfRule>
  </conditionalFormatting>
  <conditionalFormatting sqref="BC293">
    <cfRule type="containsErrors" dxfId="1377" priority="1831">
      <formula>ISERROR(BC293)</formula>
    </cfRule>
  </conditionalFormatting>
  <conditionalFormatting sqref="AI294 AI308">
    <cfRule type="containsErrors" dxfId="1376" priority="1823">
      <formula>ISERROR(AI294)</formula>
    </cfRule>
  </conditionalFormatting>
  <conditionalFormatting sqref="BT105:BT106">
    <cfRule type="containsErrors" dxfId="1375" priority="1640">
      <formula>ISERROR(BT105)</formula>
    </cfRule>
  </conditionalFormatting>
  <conditionalFormatting sqref="BT104">
    <cfRule type="containsErrors" dxfId="1374" priority="1639">
      <formula>ISERROR(BT104)</formula>
    </cfRule>
  </conditionalFormatting>
  <conditionalFormatting sqref="Y308">
    <cfRule type="containsErrors" dxfId="1373" priority="1824">
      <formula>ISERROR(Y308)</formula>
    </cfRule>
  </conditionalFormatting>
  <conditionalFormatting sqref="AT294 AT308">
    <cfRule type="containsErrors" dxfId="1372" priority="1822">
      <formula>ISERROR(AT294)</formula>
    </cfRule>
  </conditionalFormatting>
  <conditionalFormatting sqref="AI295:AI307">
    <cfRule type="containsErrors" dxfId="1371" priority="1814">
      <formula>ISERROR(AI295)</formula>
    </cfRule>
  </conditionalFormatting>
  <conditionalFormatting sqref="AS293">
    <cfRule type="containsErrors" dxfId="1370" priority="1819">
      <formula>ISERROR(AS293)</formula>
    </cfRule>
  </conditionalFormatting>
  <conditionalFormatting sqref="BD294:BD308">
    <cfRule type="containsErrors" dxfId="1369" priority="1818">
      <formula>ISERROR(BD294)</formula>
    </cfRule>
  </conditionalFormatting>
  <conditionalFormatting sqref="BD293">
    <cfRule type="containsErrors" dxfId="1368" priority="1817">
      <formula>ISERROR(BD293)</formula>
    </cfRule>
  </conditionalFormatting>
  <conditionalFormatting sqref="DA107">
    <cfRule type="containsErrors" dxfId="1367" priority="1630">
      <formula>ISERROR(DA107)</formula>
    </cfRule>
  </conditionalFormatting>
  <conditionalFormatting sqref="AT295:AT307">
    <cfRule type="containsErrors" dxfId="1366" priority="1813">
      <formula>ISERROR(AT295)</formula>
    </cfRule>
  </conditionalFormatting>
  <conditionalFormatting sqref="Y335:Y342">
    <cfRule type="containsErrors" dxfId="1365" priority="1785">
      <formula>ISERROR(Y335)</formula>
    </cfRule>
  </conditionalFormatting>
  <conditionalFormatting sqref="AG318">
    <cfRule type="containsErrors" dxfId="1364" priority="1811">
      <formula>ISERROR(AG318)</formula>
    </cfRule>
  </conditionalFormatting>
  <conditionalFormatting sqref="AR318">
    <cfRule type="containsErrors" dxfId="1363" priority="1810">
      <formula>ISERROR(AR318)</formula>
    </cfRule>
  </conditionalFormatting>
  <conditionalFormatting sqref="BC318">
    <cfRule type="containsErrors" dxfId="1362" priority="1809">
      <formula>ISERROR(BC318)</formula>
    </cfRule>
  </conditionalFormatting>
  <conditionalFormatting sqref="L341:L342">
    <cfRule type="containsErrors" dxfId="1361" priority="1808">
      <formula>ISERROR(L341)</formula>
    </cfRule>
  </conditionalFormatting>
  <conditionalFormatting sqref="U335:V335">
    <cfRule type="containsErrors" dxfId="1360" priority="1807">
      <formula>ISERROR(U335)</formula>
    </cfRule>
  </conditionalFormatting>
  <conditionalFormatting sqref="AA335">
    <cfRule type="containsErrors" dxfId="1359" priority="1806">
      <formula>ISERROR(AA335)</formula>
    </cfRule>
  </conditionalFormatting>
  <conditionalFormatting sqref="AA341">
    <cfRule type="containsErrors" dxfId="1358" priority="1800">
      <formula>ISERROR(AA341)</formula>
    </cfRule>
  </conditionalFormatting>
  <conditionalFormatting sqref="CP106">
    <cfRule type="containsErrors" dxfId="1357" priority="1633">
      <formula>ISERROR(CP106)</formula>
    </cfRule>
  </conditionalFormatting>
  <conditionalFormatting sqref="CP105:CP106">
    <cfRule type="containsErrors" dxfId="1356" priority="1632">
      <formula>ISERROR(CP105)</formula>
    </cfRule>
  </conditionalFormatting>
  <conditionalFormatting sqref="CE105:CE106">
    <cfRule type="containsErrors" dxfId="1355" priority="1636">
      <formula>ISERROR(CE105)</formula>
    </cfRule>
  </conditionalFormatting>
  <conditionalFormatting sqref="AA339:AA340">
    <cfRule type="containsErrors" dxfId="1354" priority="1798">
      <formula>ISERROR(AA339)</formula>
    </cfRule>
  </conditionalFormatting>
  <conditionalFormatting sqref="AA340">
    <cfRule type="containsErrors" dxfId="1353" priority="1799">
      <formula>ISERROR(AA340)</formula>
    </cfRule>
  </conditionalFormatting>
  <conditionalFormatting sqref="AK339:AK340">
    <cfRule type="containsErrors" dxfId="1352" priority="1794">
      <formula>ISERROR(AK339)</formula>
    </cfRule>
  </conditionalFormatting>
  <conditionalFormatting sqref="AK340">
    <cfRule type="containsErrors" dxfId="1351" priority="1795">
      <formula>ISERROR(AK340)</formula>
    </cfRule>
  </conditionalFormatting>
  <conditionalFormatting sqref="AK338">
    <cfRule type="containsErrors" dxfId="1350" priority="1793">
      <formula>ISERROR(AK338)</formula>
    </cfRule>
  </conditionalFormatting>
  <conditionalFormatting sqref="AV341">
    <cfRule type="containsErrors" dxfId="1349" priority="1792">
      <formula>ISERROR(AV341)</formula>
    </cfRule>
  </conditionalFormatting>
  <conditionalFormatting sqref="AV340">
    <cfRule type="containsErrors" dxfId="1348" priority="1791">
      <formula>ISERROR(AV340)</formula>
    </cfRule>
  </conditionalFormatting>
  <conditionalFormatting sqref="CN101:CN108">
    <cfRule type="containsErrors" dxfId="1347" priority="1622">
      <formula>ISERROR(CN101)</formula>
    </cfRule>
  </conditionalFormatting>
  <conditionalFormatting sqref="CC101:CC108">
    <cfRule type="containsErrors" dxfId="1346" priority="1623">
      <formula>ISERROR(CC101)</formula>
    </cfRule>
  </conditionalFormatting>
  <conditionalFormatting sqref="M341:M342">
    <cfRule type="containsErrors" dxfId="1345" priority="1786">
      <formula>ISERROR(M341)</formula>
    </cfRule>
  </conditionalFormatting>
  <conditionalFormatting sqref="AI335:AI342">
    <cfRule type="containsErrors" dxfId="1344" priority="1784">
      <formula>ISERROR(AI335)</formula>
    </cfRule>
  </conditionalFormatting>
  <conditionalFormatting sqref="BC321:BC333 AR321:AS333 AG321:AH333 AB321:AD333 U334:X334 AB320:AH320 AJ320:AS320 AJ334:AS334 AJ321:AO333 AU320:BC320 AU334:BC334 AU321:AZ333">
    <cfRule type="containsErrors" dxfId="1343" priority="1781">
      <formula>ISERROR(U320)</formula>
    </cfRule>
  </conditionalFormatting>
  <conditionalFormatting sqref="AG319">
    <cfRule type="containsErrors" dxfId="1342" priority="1779">
      <formula>ISERROR(AG319)</formula>
    </cfRule>
  </conditionalFormatting>
  <conditionalFormatting sqref="AR319">
    <cfRule type="containsErrors" dxfId="1341" priority="1778">
      <formula>ISERROR(AR319)</formula>
    </cfRule>
  </conditionalFormatting>
  <conditionalFormatting sqref="BC319">
    <cfRule type="containsErrors" dxfId="1340" priority="1777">
      <formula>ISERROR(BC319)</formula>
    </cfRule>
  </conditionalFormatting>
  <conditionalFormatting sqref="AE321:AF333">
    <cfRule type="containsErrors" dxfId="1339" priority="1776">
      <formula>ISERROR(AE321)</formula>
    </cfRule>
  </conditionalFormatting>
  <conditionalFormatting sqref="AP321:AQ333">
    <cfRule type="containsErrors" dxfId="1338" priority="1775">
      <formula>ISERROR(AP321)</formula>
    </cfRule>
  </conditionalFormatting>
  <conditionalFormatting sqref="BA321:BB333">
    <cfRule type="containsErrors" dxfId="1337" priority="1774">
      <formula>ISERROR(BA321)</formula>
    </cfRule>
  </conditionalFormatting>
  <conditionalFormatting sqref="AA367">
    <cfRule type="containsErrors" dxfId="1336" priority="1746">
      <formula>ISERROR(AA367)</formula>
    </cfRule>
  </conditionalFormatting>
  <conditionalFormatting sqref="CN86 CN100">
    <cfRule type="containsErrors" dxfId="1335" priority="1607">
      <formula>ISERROR(CN86)</formula>
    </cfRule>
  </conditionalFormatting>
  <conditionalFormatting sqref="CY86 CY100">
    <cfRule type="containsErrors" dxfId="1334" priority="1606">
      <formula>ISERROR(CY86)</formula>
    </cfRule>
  </conditionalFormatting>
  <conditionalFormatting sqref="Y334">
    <cfRule type="containsErrors" dxfId="1333" priority="1770">
      <formula>ISERROR(Y334)</formula>
    </cfRule>
  </conditionalFormatting>
  <conditionalFormatting sqref="BD320:BD334">
    <cfRule type="containsErrors" dxfId="1332" priority="1764">
      <formula>ISERROR(BD320)</formula>
    </cfRule>
  </conditionalFormatting>
  <conditionalFormatting sqref="BD319">
    <cfRule type="containsErrors" dxfId="1331" priority="1763">
      <formula>ISERROR(BD319)</formula>
    </cfRule>
  </conditionalFormatting>
  <conditionalFormatting sqref="AS319">
    <cfRule type="containsErrors" dxfId="1330" priority="1765">
      <formula>ISERROR(AS319)</formula>
    </cfRule>
  </conditionalFormatting>
  <conditionalFormatting sqref="AI321:AI333">
    <cfRule type="containsErrors" dxfId="1329" priority="1760">
      <formula>ISERROR(AI321)</formula>
    </cfRule>
  </conditionalFormatting>
  <conditionalFormatting sqref="CY87:CY99">
    <cfRule type="containsErrors" dxfId="1328" priority="1597">
      <formula>ISERROR(CY87)</formula>
    </cfRule>
  </conditionalFormatting>
  <conditionalFormatting sqref="AT321:AT333">
    <cfRule type="containsErrors" dxfId="1327" priority="1759">
      <formula>ISERROR(AT321)</formula>
    </cfRule>
  </conditionalFormatting>
  <conditionalFormatting sqref="AR344">
    <cfRule type="containsErrors" dxfId="1326" priority="1756">
      <formula>ISERROR(AR344)</formula>
    </cfRule>
  </conditionalFormatting>
  <conditionalFormatting sqref="O367">
    <cfRule type="containsErrors" dxfId="1325" priority="1750">
      <formula>ISERROR(O367)</formula>
    </cfRule>
  </conditionalFormatting>
  <conditionalFormatting sqref="U361:V361">
    <cfRule type="containsErrors" dxfId="1324" priority="1753">
      <formula>ISERROR(U361)</formula>
    </cfRule>
  </conditionalFormatting>
  <conditionalFormatting sqref="AA361">
    <cfRule type="containsErrors" dxfId="1323" priority="1752">
      <formula>ISERROR(AA361)</formula>
    </cfRule>
  </conditionalFormatting>
  <conditionalFormatting sqref="AB364:AH367 AL364:AS367 AW364:BC367 N367 Z364:Z367 AJ368:AS368 AJ361:AS363 AJ364:AJ367 AU368:BC368 AU361:BC363 AU364:AU367 U361:X366">
    <cfRule type="containsErrors" dxfId="1322" priority="1751">
      <formula>ISERROR(N361)</formula>
    </cfRule>
  </conditionalFormatting>
  <conditionalFormatting sqref="CM85">
    <cfRule type="containsErrors" dxfId="1321" priority="1604">
      <formula>ISERROR(CM85)</formula>
    </cfRule>
  </conditionalFormatting>
  <conditionalFormatting sqref="CX85">
    <cfRule type="containsErrors" dxfId="1320" priority="1603">
      <formula>ISERROR(CX85)</formula>
    </cfRule>
  </conditionalFormatting>
  <conditionalFormatting sqref="AA366">
    <cfRule type="containsErrors" dxfId="1319" priority="1745">
      <formula>ISERROR(AA366)</formula>
    </cfRule>
  </conditionalFormatting>
  <conditionalFormatting sqref="AA365:AA366">
    <cfRule type="containsErrors" dxfId="1318" priority="1744">
      <formula>ISERROR(AA365)</formula>
    </cfRule>
  </conditionalFormatting>
  <conditionalFormatting sqref="AA364">
    <cfRule type="containsErrors" dxfId="1317" priority="1743">
      <formula>ISERROR(AA364)</formula>
    </cfRule>
  </conditionalFormatting>
  <conditionalFormatting sqref="AK367">
    <cfRule type="containsErrors" dxfId="1316" priority="1742">
      <formula>ISERROR(AK367)</formula>
    </cfRule>
  </conditionalFormatting>
  <conditionalFormatting sqref="AK366">
    <cfRule type="containsErrors" dxfId="1315" priority="1741">
      <formula>ISERROR(AK366)</formula>
    </cfRule>
  </conditionalFormatting>
  <conditionalFormatting sqref="M367:M368">
    <cfRule type="containsErrors" dxfId="1314" priority="1732">
      <formula>ISERROR(M367)</formula>
    </cfRule>
  </conditionalFormatting>
  <conditionalFormatting sqref="Y361:Y368">
    <cfRule type="containsErrors" dxfId="1313" priority="1731">
      <formula>ISERROR(Y361)</formula>
    </cfRule>
  </conditionalFormatting>
  <conditionalFormatting sqref="AI361:AI368">
    <cfRule type="containsErrors" dxfId="1312" priority="1730">
      <formula>ISERROR(AI361)</formula>
    </cfRule>
  </conditionalFormatting>
  <conditionalFormatting sqref="BU130:CB133 CF130:CM133 CQ130:CX133 DB130:DH133 BP128:BQ131 BP127 BS134:CB134 BS127:CB129 BS130:BS133 CD134:CM134 CD127:CM129 CD130:CD133 CO134:CX134 CO127:CX129 CO130:CO133 CZ134:DH134 CZ127:DH129 CZ130:CZ133">
    <cfRule type="containsErrors" dxfId="1311" priority="1589">
      <formula>ISERROR(BP127)</formula>
    </cfRule>
  </conditionalFormatting>
  <conditionalFormatting sqref="CE127 CE128:CF128">
    <cfRule type="containsErrors" dxfId="1310" priority="1590">
      <formula>ISERROR(CE127)</formula>
    </cfRule>
  </conditionalFormatting>
  <conditionalFormatting sqref="BD361:BD368">
    <cfRule type="containsErrors" dxfId="1309" priority="1728">
      <formula>ISERROR(BD361)</formula>
    </cfRule>
  </conditionalFormatting>
  <conditionalFormatting sqref="AR345">
    <cfRule type="containsErrors" dxfId="1308" priority="1724">
      <formula>ISERROR(AR345)</formula>
    </cfRule>
  </conditionalFormatting>
  <conditionalFormatting sqref="BC347:BC359 AR347:AS359 AG347:AH359 AB347:AD359 U360:X360 AB346:AH346 AJ346:AS346 AJ360:AS360 AJ347:AO359 AU346:BC346 AU360:BC360 AU347:AZ359">
    <cfRule type="containsErrors" dxfId="1307" priority="1727">
      <formula>ISERROR(U346)</formula>
    </cfRule>
  </conditionalFormatting>
  <conditionalFormatting sqref="AG345">
    <cfRule type="containsErrors" dxfId="1306" priority="1725">
      <formula>ISERROR(AG345)</formula>
    </cfRule>
  </conditionalFormatting>
  <conditionalFormatting sqref="BC345">
    <cfRule type="containsErrors" dxfId="1305" priority="1723">
      <formula>ISERROR(BC345)</formula>
    </cfRule>
  </conditionalFormatting>
  <conditionalFormatting sqref="AI346 AI360">
    <cfRule type="containsErrors" dxfId="1304" priority="1715">
      <formula>ISERROR(AI346)</formula>
    </cfRule>
  </conditionalFormatting>
  <conditionalFormatting sqref="Y360">
    <cfRule type="containsErrors" dxfId="1303" priority="1716">
      <formula>ISERROR(Y360)</formula>
    </cfRule>
  </conditionalFormatting>
  <conditionalFormatting sqref="BA347:BB359">
    <cfRule type="containsErrors" dxfId="1302" priority="1720">
      <formula>ISERROR(BA347)</formula>
    </cfRule>
  </conditionalFormatting>
  <conditionalFormatting sqref="AA390:AH393 AL390:AS393 AW390:BC393 N393 Y394:AH394 Y387:AH389 Y390:Y393 AJ394:AS394 AJ387:AS389 AJ390:AJ393 AU394:BC394 AU387:BC389 AU390:AU393 S387:W392">
    <cfRule type="containsErrors" dxfId="1301" priority="1697">
      <formula>ISERROR(N387)</formula>
    </cfRule>
  </conditionalFormatting>
  <conditionalFormatting sqref="DA131:DA132">
    <cfRule type="containsErrors" dxfId="1300" priority="1574">
      <formula>ISERROR(DA131)</formula>
    </cfRule>
  </conditionalFormatting>
  <conditionalFormatting sqref="DA130">
    <cfRule type="containsErrors" dxfId="1299" priority="1573">
      <formula>ISERROR(DA130)</formula>
    </cfRule>
  </conditionalFormatting>
  <conditionalFormatting sqref="AT346 AT360">
    <cfRule type="containsErrors" dxfId="1298" priority="1714">
      <formula>ISERROR(AT346)</formula>
    </cfRule>
  </conditionalFormatting>
  <conditionalFormatting sqref="AH345">
    <cfRule type="containsErrors" dxfId="1297" priority="1712">
      <formula>ISERROR(AH345)</formula>
    </cfRule>
  </conditionalFormatting>
  <conditionalFormatting sqref="AS345">
    <cfRule type="containsErrors" dxfId="1296" priority="1711">
      <formula>ISERROR(AS345)</formula>
    </cfRule>
  </conditionalFormatting>
  <conditionalFormatting sqref="BD346:BD360">
    <cfRule type="containsErrors" dxfId="1295" priority="1710">
      <formula>ISERROR(BD346)</formula>
    </cfRule>
  </conditionalFormatting>
  <conditionalFormatting sqref="BD345">
    <cfRule type="containsErrors" dxfId="1294" priority="1709">
      <formula>ISERROR(BD345)</formula>
    </cfRule>
  </conditionalFormatting>
  <conditionalFormatting sqref="BC370">
    <cfRule type="containsErrors" dxfId="1293" priority="1701">
      <formula>ISERROR(BC370)</formula>
    </cfRule>
  </conditionalFormatting>
  <conditionalFormatting sqref="CA111">
    <cfRule type="containsErrors" dxfId="1292" priority="1564">
      <formula>ISERROR(CA111)</formula>
    </cfRule>
  </conditionalFormatting>
  <conditionalFormatting sqref="AK390">
    <cfRule type="containsErrors" dxfId="1291" priority="1685">
      <formula>ISERROR(AK390)</formula>
    </cfRule>
  </conditionalFormatting>
  <conditionalFormatting sqref="L393:L394">
    <cfRule type="containsErrors" dxfId="1290" priority="1700">
      <formula>ISERROR(L393)</formula>
    </cfRule>
  </conditionalFormatting>
  <conditionalFormatting sqref="Z387 Z388:AA388">
    <cfRule type="containsErrors" dxfId="1289" priority="1698">
      <formula>ISERROR(Z387)</formula>
    </cfRule>
  </conditionalFormatting>
  <conditionalFormatting sqref="BQ127">
    <cfRule type="containsErrors" dxfId="1288" priority="1571">
      <formula>ISERROR(BQ127)</formula>
    </cfRule>
  </conditionalFormatting>
  <conditionalFormatting sqref="BR127:BR134">
    <cfRule type="containsErrors" dxfId="1287" priority="1570">
      <formula>ISERROR(BR127)</formula>
    </cfRule>
  </conditionalFormatting>
  <conditionalFormatting sqref="Z393">
    <cfRule type="containsErrors" dxfId="1286" priority="1692">
      <formula>ISERROR(Z393)</formula>
    </cfRule>
  </conditionalFormatting>
  <conditionalFormatting sqref="Z392">
    <cfRule type="containsErrors" dxfId="1285" priority="1691">
      <formula>ISERROR(Z392)</formula>
    </cfRule>
  </conditionalFormatting>
  <conditionalFormatting sqref="Z391:Z392">
    <cfRule type="containsErrors" dxfId="1284" priority="1690">
      <formula>ISERROR(Z391)</formula>
    </cfRule>
  </conditionalFormatting>
  <conditionalFormatting sqref="AV393">
    <cfRule type="containsErrors" dxfId="1283" priority="1684">
      <formula>ISERROR(AV393)</formula>
    </cfRule>
  </conditionalFormatting>
  <conditionalFormatting sqref="AV390">
    <cfRule type="containsErrors" dxfId="1282" priority="1681">
      <formula>ISERROR(AV390)</formula>
    </cfRule>
  </conditionalFormatting>
  <conditionalFormatting sqref="AK392">
    <cfRule type="containsErrors" dxfId="1281" priority="1687">
      <formula>ISERROR(AK392)</formula>
    </cfRule>
  </conditionalFormatting>
  <conditionalFormatting sqref="AK391:AK392">
    <cfRule type="containsErrors" dxfId="1280" priority="1686">
      <formula>ISERROR(AK391)</formula>
    </cfRule>
  </conditionalFormatting>
  <conditionalFormatting sqref="AV391:AV392">
    <cfRule type="containsErrors" dxfId="1279" priority="1682">
      <formula>ISERROR(AV391)</formula>
    </cfRule>
  </conditionalFormatting>
  <conditionalFormatting sqref="AV392">
    <cfRule type="containsErrors" dxfId="1278" priority="1683">
      <formula>ISERROR(AV392)</formula>
    </cfRule>
  </conditionalFormatting>
  <conditionalFormatting sqref="BT113:BT125">
    <cfRule type="containsErrors" dxfId="1277" priority="1556">
      <formula>ISERROR(BT113)</formula>
    </cfRule>
  </conditionalFormatting>
  <conditionalFormatting sqref="CE113:CE125">
    <cfRule type="containsErrors" dxfId="1276" priority="1557">
      <formula>ISERROR(CE113)</formula>
    </cfRule>
  </conditionalFormatting>
  <conditionalFormatting sqref="M393:M394">
    <cfRule type="containsErrors" dxfId="1275" priority="1678">
      <formula>ISERROR(M393)</formula>
    </cfRule>
  </conditionalFormatting>
  <conditionalFormatting sqref="X387:X394">
    <cfRule type="containsErrors" dxfId="1274" priority="1677">
      <formula>ISERROR(X387)</formula>
    </cfRule>
  </conditionalFormatting>
  <conditionalFormatting sqref="AI387:AI394">
    <cfRule type="containsErrors" dxfId="1273" priority="1676">
      <formula>ISERROR(AI387)</formula>
    </cfRule>
  </conditionalFormatting>
  <conditionalFormatting sqref="AT387:AT394">
    <cfRule type="containsErrors" dxfId="1272" priority="1675">
      <formula>ISERROR(AT387)</formula>
    </cfRule>
  </conditionalFormatting>
  <conditionalFormatting sqref="BD387:BD394">
    <cfRule type="containsErrors" dxfId="1271" priority="1674">
      <formula>ISERROR(BD387)</formula>
    </cfRule>
  </conditionalFormatting>
  <conditionalFormatting sqref="AE373:AF385">
    <cfRule type="containsErrors" dxfId="1270" priority="1668">
      <formula>ISERROR(AE373)</formula>
    </cfRule>
  </conditionalFormatting>
  <conditionalFormatting sqref="AP373:AQ385">
    <cfRule type="containsErrors" dxfId="1269" priority="1667">
      <formula>ISERROR(AP373)</formula>
    </cfRule>
  </conditionalFormatting>
  <conditionalFormatting sqref="AG371">
    <cfRule type="containsErrors" dxfId="1268" priority="1671">
      <formula>ISERROR(AG371)</formula>
    </cfRule>
  </conditionalFormatting>
  <conditionalFormatting sqref="CW84">
    <cfRule type="containsErrors" dxfId="1267" priority="1648">
      <formula>ISERROR(CW84)</formula>
    </cfRule>
  </conditionalFormatting>
  <conditionalFormatting sqref="X386">
    <cfRule type="containsErrors" dxfId="1266" priority="1662">
      <formula>ISERROR(X386)</formula>
    </cfRule>
  </conditionalFormatting>
  <conditionalFormatting sqref="BA373:BB385">
    <cfRule type="containsErrors" dxfId="1265" priority="1666">
      <formula>ISERROR(BA373)</formula>
    </cfRule>
  </conditionalFormatting>
  <conditionalFormatting sqref="CL136">
    <cfRule type="containsErrors" dxfId="1264" priority="1541">
      <formula>ISERROR(CL136)</formula>
    </cfRule>
  </conditionalFormatting>
  <conditionalFormatting sqref="CW136">
    <cfRule type="containsErrors" dxfId="1263" priority="1540">
      <formula>ISERROR(CW136)</formula>
    </cfRule>
  </conditionalFormatting>
  <conditionalFormatting sqref="AI372 AI386">
    <cfRule type="containsErrors" dxfId="1262" priority="1661">
      <formula>ISERROR(AI372)</formula>
    </cfRule>
  </conditionalFormatting>
  <conditionalFormatting sqref="AT372 AT386">
    <cfRule type="containsErrors" dxfId="1261" priority="1660">
      <formula>ISERROR(AT372)</formula>
    </cfRule>
  </conditionalFormatting>
  <conditionalFormatting sqref="BT107">
    <cfRule type="containsErrors" dxfId="1260" priority="1642">
      <formula>ISERROR(BT107)</formula>
    </cfRule>
  </conditionalFormatting>
  <conditionalFormatting sqref="AS371">
    <cfRule type="containsErrors" dxfId="1259" priority="1657">
      <formula>ISERROR(AS371)</formula>
    </cfRule>
  </conditionalFormatting>
  <conditionalFormatting sqref="AT373:AT385">
    <cfRule type="containsErrors" dxfId="1258" priority="1651">
      <formula>ISERROR(AT373)</formula>
    </cfRule>
  </conditionalFormatting>
  <conditionalFormatting sqref="CA84">
    <cfRule type="containsErrors" dxfId="1257" priority="1650">
      <formula>ISERROR(CA84)</formula>
    </cfRule>
  </conditionalFormatting>
  <conditionalFormatting sqref="AI373:AI385">
    <cfRule type="containsErrors" dxfId="1256" priority="1652">
      <formula>ISERROR(AI373)</formula>
    </cfRule>
  </conditionalFormatting>
  <conditionalFormatting sqref="BT156">
    <cfRule type="containsErrors" dxfId="1255" priority="1531">
      <formula>ISERROR(BT156)</formula>
    </cfRule>
  </conditionalFormatting>
  <conditionalFormatting sqref="CL84">
    <cfRule type="containsErrors" dxfId="1254" priority="1649">
      <formula>ISERROR(CL84)</formula>
    </cfRule>
  </conditionalFormatting>
  <conditionalFormatting sqref="DH84">
    <cfRule type="containsErrors" dxfId="1253" priority="1647">
      <formula>ISERROR(DH84)</formula>
    </cfRule>
  </conditionalFormatting>
  <conditionalFormatting sqref="BP107:BQ108 BP106">
    <cfRule type="containsErrors" dxfId="1252" priority="1646">
      <formula>ISERROR(BP106)</formula>
    </cfRule>
  </conditionalFormatting>
  <conditionalFormatting sqref="BY101:BZ101">
    <cfRule type="containsErrors" dxfId="1251" priority="1645">
      <formula>ISERROR(BY101)</formula>
    </cfRule>
  </conditionalFormatting>
  <conditionalFormatting sqref="CE101 CE102:CF102">
    <cfRule type="containsErrors" dxfId="1250" priority="1644">
      <formula>ISERROR(CE101)</formula>
    </cfRule>
  </conditionalFormatting>
  <conditionalFormatting sqref="BU104:CB107 CF104:CM107 CQ104:CX107 DB104:DH107 BP102:BQ105 BP101 BS108:CB108 BS101:CB103 BS104:BS107 CD108:CM108 CD101:CM103 CD104:CD107 CO108:CX108 CO101:CX103 CO104:CO107 CZ108:DH108 CZ101:DH103 CZ104:CZ107">
    <cfRule type="containsErrors" dxfId="1249" priority="1643">
      <formula>ISERROR(BP101)</formula>
    </cfRule>
  </conditionalFormatting>
  <conditionalFormatting sqref="BT106">
    <cfRule type="containsErrors" dxfId="1248" priority="1641">
      <formula>ISERROR(BT106)</formula>
    </cfRule>
  </conditionalFormatting>
  <conditionalFormatting sqref="CE104">
    <cfRule type="containsErrors" dxfId="1247" priority="1635">
      <formula>ISERROR(CE104)</formula>
    </cfRule>
  </conditionalFormatting>
  <conditionalFormatting sqref="CP107">
    <cfRule type="containsErrors" dxfId="1246" priority="1634">
      <formula>ISERROR(CP107)</formula>
    </cfRule>
  </conditionalFormatting>
  <conditionalFormatting sqref="CE107">
    <cfRule type="containsErrors" dxfId="1245" priority="1638">
      <formula>ISERROR(CE107)</formula>
    </cfRule>
  </conditionalFormatting>
  <conditionalFormatting sqref="CE106">
    <cfRule type="containsErrors" dxfId="1244" priority="1637">
      <formula>ISERROR(CE106)</formula>
    </cfRule>
  </conditionalFormatting>
  <conditionalFormatting sqref="CP104">
    <cfRule type="containsErrors" dxfId="1243" priority="1631">
      <formula>ISERROR(CP104)</formula>
    </cfRule>
  </conditionalFormatting>
  <conditionalFormatting sqref="BQ101">
    <cfRule type="containsErrors" dxfId="1242" priority="1625">
      <formula>ISERROR(BQ101)</formula>
    </cfRule>
  </conditionalFormatting>
  <conditionalFormatting sqref="DA106">
    <cfRule type="containsErrors" dxfId="1241" priority="1629">
      <formula>ISERROR(DA106)</formula>
    </cfRule>
  </conditionalFormatting>
  <conditionalFormatting sqref="DA105:DA106">
    <cfRule type="containsErrors" dxfId="1240" priority="1628">
      <formula>ISERROR(DA105)</formula>
    </cfRule>
  </conditionalFormatting>
  <conditionalFormatting sqref="DA104">
    <cfRule type="containsErrors" dxfId="1239" priority="1627">
      <formula>ISERROR(DA104)</formula>
    </cfRule>
  </conditionalFormatting>
  <conditionalFormatting sqref="BQ101">
    <cfRule type="containsErrors" dxfId="1238" priority="1626">
      <formula>ISERROR(BQ101)</formula>
    </cfRule>
  </conditionalFormatting>
  <conditionalFormatting sqref="BR101:BR108">
    <cfRule type="containsErrors" dxfId="1237" priority="1624">
      <formula>ISERROR(BR101)</formula>
    </cfRule>
  </conditionalFormatting>
  <conditionalFormatting sqref="CA85">
    <cfRule type="containsErrors" dxfId="1236" priority="1618">
      <formula>ISERROR(CA85)</formula>
    </cfRule>
  </conditionalFormatting>
  <conditionalFormatting sqref="CL85">
    <cfRule type="containsErrors" dxfId="1235" priority="1617">
      <formula>ISERROR(CL85)</formula>
    </cfRule>
  </conditionalFormatting>
  <conditionalFormatting sqref="CY101:CY108">
    <cfRule type="containsErrors" dxfId="1234" priority="1621">
      <formula>ISERROR(CY101)</formula>
    </cfRule>
  </conditionalFormatting>
  <conditionalFormatting sqref="DI101:DI108">
    <cfRule type="containsErrors" dxfId="1233" priority="1620">
      <formula>ISERROR(DI101)</formula>
    </cfRule>
  </conditionalFormatting>
  <conditionalFormatting sqref="BP86:BQ100 DH87:DH99 CW87:CX99 CL87:CM99 CF87:CI99 BU87:CB99 BS87:BS99 BS86:CB86 BS100:CB100 CD86:CM86 CD100:CM100 CD87:CD99 CO86:CX86 CO100:CX100 CO87:CT99 CZ86:DH86 CZ100:DH100 CZ87:DE99">
    <cfRule type="containsErrors" dxfId="1232" priority="1619">
      <formula>ISERROR(BP86)</formula>
    </cfRule>
  </conditionalFormatting>
  <conditionalFormatting sqref="CW85">
    <cfRule type="containsErrors" dxfId="1231" priority="1616">
      <formula>ISERROR(CW85)</formula>
    </cfRule>
  </conditionalFormatting>
  <conditionalFormatting sqref="DH85">
    <cfRule type="containsErrors" dxfId="1230" priority="1615">
      <formula>ISERROR(DH85)</formula>
    </cfRule>
  </conditionalFormatting>
  <conditionalFormatting sqref="CJ87:CK99">
    <cfRule type="containsErrors" dxfId="1229" priority="1614">
      <formula>ISERROR(CJ87)</formula>
    </cfRule>
  </conditionalFormatting>
  <conditionalFormatting sqref="CU87:CV99">
    <cfRule type="containsErrors" dxfId="1228" priority="1613">
      <formula>ISERROR(CU87)</formula>
    </cfRule>
  </conditionalFormatting>
  <conditionalFormatting sqref="DF87:DG99">
    <cfRule type="containsErrors" dxfId="1227" priority="1612">
      <formula>ISERROR(DF87)</formula>
    </cfRule>
  </conditionalFormatting>
  <conditionalFormatting sqref="CE87:CE99">
    <cfRule type="containsErrors" dxfId="1226" priority="1611">
      <formula>ISERROR(CE87)</formula>
    </cfRule>
  </conditionalFormatting>
  <conditionalFormatting sqref="BT87:BT99">
    <cfRule type="containsErrors" dxfId="1225" priority="1610">
      <formula>ISERROR(BT87)</formula>
    </cfRule>
  </conditionalFormatting>
  <conditionalFormatting sqref="BR86 BR100">
    <cfRule type="containsErrors" dxfId="1224" priority="1609">
      <formula>ISERROR(BR86)</formula>
    </cfRule>
  </conditionalFormatting>
  <conditionalFormatting sqref="CC86 CC100">
    <cfRule type="containsErrors" dxfId="1223" priority="1608">
      <formula>ISERROR(CC86)</formula>
    </cfRule>
  </conditionalFormatting>
  <conditionalFormatting sqref="DI86:DI100">
    <cfRule type="containsErrors" dxfId="1222" priority="1602">
      <formula>ISERROR(DI86)</formula>
    </cfRule>
  </conditionalFormatting>
  <conditionalFormatting sqref="DI85">
    <cfRule type="containsErrors" dxfId="1221" priority="1601">
      <formula>ISERROR(DI85)</formula>
    </cfRule>
  </conditionalFormatting>
  <conditionalFormatting sqref="CB85">
    <cfRule type="containsErrors" dxfId="1220" priority="1605">
      <formula>ISERROR(CB85)</formula>
    </cfRule>
  </conditionalFormatting>
  <conditionalFormatting sqref="CC87:CC99">
    <cfRule type="containsErrors" dxfId="1219" priority="1599">
      <formula>ISERROR(CC87)</formula>
    </cfRule>
  </conditionalFormatting>
  <conditionalFormatting sqref="CN87:CN99">
    <cfRule type="containsErrors" dxfId="1218" priority="1598">
      <formula>ISERROR(CN87)</formula>
    </cfRule>
  </conditionalFormatting>
  <conditionalFormatting sqref="BR87:BR99">
    <cfRule type="containsErrors" dxfId="1217" priority="1600">
      <formula>ISERROR(BR87)</formula>
    </cfRule>
  </conditionalFormatting>
  <conditionalFormatting sqref="CA110">
    <cfRule type="containsErrors" dxfId="1216" priority="1596">
      <formula>ISERROR(CA110)</formula>
    </cfRule>
  </conditionalFormatting>
  <conditionalFormatting sqref="BP133:BQ134 BP132">
    <cfRule type="containsErrors" dxfId="1215" priority="1592">
      <formula>ISERROR(BP132)</formula>
    </cfRule>
  </conditionalFormatting>
  <conditionalFormatting sqref="CL110">
    <cfRule type="containsErrors" dxfId="1214" priority="1595">
      <formula>ISERROR(CL110)</formula>
    </cfRule>
  </conditionalFormatting>
  <conditionalFormatting sqref="CW110">
    <cfRule type="containsErrors" dxfId="1213" priority="1594">
      <formula>ISERROR(CW110)</formula>
    </cfRule>
  </conditionalFormatting>
  <conditionalFormatting sqref="DH110">
    <cfRule type="containsErrors" dxfId="1212" priority="1593">
      <formula>ISERROR(DH110)</formula>
    </cfRule>
  </conditionalFormatting>
  <conditionalFormatting sqref="BY127:BZ127">
    <cfRule type="containsErrors" dxfId="1211" priority="1591">
      <formula>ISERROR(BY127)</formula>
    </cfRule>
  </conditionalFormatting>
  <conditionalFormatting sqref="BT130">
    <cfRule type="containsErrors" dxfId="1210" priority="1585">
      <formula>ISERROR(BT130)</formula>
    </cfRule>
  </conditionalFormatting>
  <conditionalFormatting sqref="CE133">
    <cfRule type="containsErrors" dxfId="1209" priority="1584">
      <formula>ISERROR(CE133)</formula>
    </cfRule>
  </conditionalFormatting>
  <conditionalFormatting sqref="BT133">
    <cfRule type="containsErrors" dxfId="1208" priority="1588">
      <formula>ISERROR(BT133)</formula>
    </cfRule>
  </conditionalFormatting>
  <conditionalFormatting sqref="BT132">
    <cfRule type="containsErrors" dxfId="1207" priority="1587">
      <formula>ISERROR(BT132)</formula>
    </cfRule>
  </conditionalFormatting>
  <conditionalFormatting sqref="BT131:BT132">
    <cfRule type="containsErrors" dxfId="1206" priority="1586">
      <formula>ISERROR(BT131)</formula>
    </cfRule>
  </conditionalFormatting>
  <conditionalFormatting sqref="CE131:CE132">
    <cfRule type="containsErrors" dxfId="1205" priority="1582">
      <formula>ISERROR(CE131)</formula>
    </cfRule>
  </conditionalFormatting>
  <conditionalFormatting sqref="CE132">
    <cfRule type="containsErrors" dxfId="1204" priority="1583">
      <formula>ISERROR(CE132)</formula>
    </cfRule>
  </conditionalFormatting>
  <conditionalFormatting sqref="CE130">
    <cfRule type="containsErrors" dxfId="1203" priority="1581">
      <formula>ISERROR(CE130)</formula>
    </cfRule>
  </conditionalFormatting>
  <conditionalFormatting sqref="CP133">
    <cfRule type="containsErrors" dxfId="1202" priority="1580">
      <formula>ISERROR(CP133)</formula>
    </cfRule>
  </conditionalFormatting>
  <conditionalFormatting sqref="CP132">
    <cfRule type="containsErrors" dxfId="1201" priority="1579">
      <formula>ISERROR(CP132)</formula>
    </cfRule>
  </conditionalFormatting>
  <conditionalFormatting sqref="CP131:CP132">
    <cfRule type="containsErrors" dxfId="1200" priority="1578">
      <formula>ISERROR(CP131)</formula>
    </cfRule>
  </conditionalFormatting>
  <conditionalFormatting sqref="CP130">
    <cfRule type="containsErrors" dxfId="1199" priority="1577">
      <formula>ISERROR(CP130)</formula>
    </cfRule>
  </conditionalFormatting>
  <conditionalFormatting sqref="DA133">
    <cfRule type="containsErrors" dxfId="1198" priority="1576">
      <formula>ISERROR(DA133)</formula>
    </cfRule>
  </conditionalFormatting>
  <conditionalFormatting sqref="DA132">
    <cfRule type="containsErrors" dxfId="1197" priority="1575">
      <formula>ISERROR(DA132)</formula>
    </cfRule>
  </conditionalFormatting>
  <conditionalFormatting sqref="CC127:CC134">
    <cfRule type="containsErrors" dxfId="1196" priority="1569">
      <formula>ISERROR(CC127)</formula>
    </cfRule>
  </conditionalFormatting>
  <conditionalFormatting sqref="CN127:CN134">
    <cfRule type="containsErrors" dxfId="1195" priority="1568">
      <formula>ISERROR(CN127)</formula>
    </cfRule>
  </conditionalFormatting>
  <conditionalFormatting sqref="DI127:DI134">
    <cfRule type="containsErrors" dxfId="1194" priority="1566">
      <formula>ISERROR(DI127)</formula>
    </cfRule>
  </conditionalFormatting>
  <conditionalFormatting sqref="BQ127">
    <cfRule type="containsErrors" dxfId="1193" priority="1572">
      <formula>ISERROR(BQ127)</formula>
    </cfRule>
  </conditionalFormatting>
  <conditionalFormatting sqref="BP112:BQ126 DH113:DH125 CW113:CX125 CL113:CM125 CF113:CI125 BU113:CB125 BS113:BS125 BS112:CB112 BS126:CB126 CD112:CM112 CD126:CM126 CD113:CD125 CO112:CX112 CO126:CX126 CO113:CT125 CZ112:DH112 CZ126:DH126 CZ113:DE125">
    <cfRule type="containsErrors" dxfId="1192" priority="1565">
      <formula>ISERROR(BP112)</formula>
    </cfRule>
  </conditionalFormatting>
  <conditionalFormatting sqref="CY127:CY134">
    <cfRule type="containsErrors" dxfId="1191" priority="1567">
      <formula>ISERROR(CY127)</formula>
    </cfRule>
  </conditionalFormatting>
  <conditionalFormatting sqref="CL111">
    <cfRule type="containsErrors" dxfId="1190" priority="1563">
      <formula>ISERROR(CL111)</formula>
    </cfRule>
  </conditionalFormatting>
  <conditionalFormatting sqref="CU113:CV125">
    <cfRule type="containsErrors" dxfId="1189" priority="1559">
      <formula>ISERROR(CU113)</formula>
    </cfRule>
  </conditionalFormatting>
  <conditionalFormatting sqref="CW111">
    <cfRule type="containsErrors" dxfId="1188" priority="1562">
      <formula>ISERROR(CW111)</formula>
    </cfRule>
  </conditionalFormatting>
  <conditionalFormatting sqref="DH111">
    <cfRule type="containsErrors" dxfId="1187" priority="1561">
      <formula>ISERROR(DH111)</formula>
    </cfRule>
  </conditionalFormatting>
  <conditionalFormatting sqref="CJ113:CK125">
    <cfRule type="containsErrors" dxfId="1186" priority="1560">
      <formula>ISERROR(CJ113)</formula>
    </cfRule>
  </conditionalFormatting>
  <conditionalFormatting sqref="DF113:DG125">
    <cfRule type="containsErrors" dxfId="1185" priority="1558">
      <formula>ISERROR(DF113)</formula>
    </cfRule>
  </conditionalFormatting>
  <conditionalFormatting sqref="CY112 CY126">
    <cfRule type="containsErrors" dxfId="1184" priority="1552">
      <formula>ISERROR(CY112)</formula>
    </cfRule>
  </conditionalFormatting>
  <conditionalFormatting sqref="CB111">
    <cfRule type="containsErrors" dxfId="1183" priority="1551">
      <formula>ISERROR(CB111)</formula>
    </cfRule>
  </conditionalFormatting>
  <conditionalFormatting sqref="BR112 BR126">
    <cfRule type="containsErrors" dxfId="1182" priority="1555">
      <formula>ISERROR(BR112)</formula>
    </cfRule>
  </conditionalFormatting>
  <conditionalFormatting sqref="CC112 CC126">
    <cfRule type="containsErrors" dxfId="1181" priority="1554">
      <formula>ISERROR(CC112)</formula>
    </cfRule>
  </conditionalFormatting>
  <conditionalFormatting sqref="CN112 CN126">
    <cfRule type="containsErrors" dxfId="1180" priority="1553">
      <formula>ISERROR(CN112)</formula>
    </cfRule>
  </conditionalFormatting>
  <conditionalFormatting sqref="CM111">
    <cfRule type="containsErrors" dxfId="1179" priority="1550">
      <formula>ISERROR(CM111)</formula>
    </cfRule>
  </conditionalFormatting>
  <conditionalFormatting sqref="CX111">
    <cfRule type="containsErrors" dxfId="1178" priority="1549">
      <formula>ISERROR(CX111)</formula>
    </cfRule>
  </conditionalFormatting>
  <conditionalFormatting sqref="DI112:DI126">
    <cfRule type="containsErrors" dxfId="1177" priority="1548">
      <formula>ISERROR(DI112)</formula>
    </cfRule>
  </conditionalFormatting>
  <conditionalFormatting sqref="DI111">
    <cfRule type="containsErrors" dxfId="1176" priority="1547">
      <formula>ISERROR(DI111)</formula>
    </cfRule>
  </conditionalFormatting>
  <conditionalFormatting sqref="CN113:CN125">
    <cfRule type="containsErrors" dxfId="1175" priority="1544">
      <formula>ISERROR(CN113)</formula>
    </cfRule>
  </conditionalFormatting>
  <conditionalFormatting sqref="BR113:BR125">
    <cfRule type="containsErrors" dxfId="1174" priority="1546">
      <formula>ISERROR(BR113)</formula>
    </cfRule>
  </conditionalFormatting>
  <conditionalFormatting sqref="CC113:CC125">
    <cfRule type="containsErrors" dxfId="1173" priority="1545">
      <formula>ISERROR(CC113)</formula>
    </cfRule>
  </conditionalFormatting>
  <conditionalFormatting sqref="CY113:CY125">
    <cfRule type="containsErrors" dxfId="1172" priority="1543">
      <formula>ISERROR(CY113)</formula>
    </cfRule>
  </conditionalFormatting>
  <conditionalFormatting sqref="CA136">
    <cfRule type="containsErrors" dxfId="1171" priority="1542">
      <formula>ISERROR(CA136)</formula>
    </cfRule>
  </conditionalFormatting>
  <conditionalFormatting sqref="CE153 CE154:CF154">
    <cfRule type="containsErrors" dxfId="1170" priority="1536">
      <formula>ISERROR(CE153)</formula>
    </cfRule>
  </conditionalFormatting>
  <conditionalFormatting sqref="BU156:CB159 CF156:CM159 CQ156:CX159 DB156:DH159 BP154:BQ157 BP153 BS160:CB160 BS153:CB155 BS156:BS159 CD160:CM160 CD153:CM155 CD156:CD159 CO160:CX160 CO153:CX155 CO156:CO159 CZ160:DH160 CZ153:DH155 CZ156:CZ159">
    <cfRule type="containsErrors" dxfId="1169" priority="1535">
      <formula>ISERROR(BP153)</formula>
    </cfRule>
  </conditionalFormatting>
  <conditionalFormatting sqref="DH136">
    <cfRule type="containsErrors" dxfId="1168" priority="1539">
      <formula>ISERROR(DH136)</formula>
    </cfRule>
  </conditionalFormatting>
  <conditionalFormatting sqref="BP159:BQ160 BP158">
    <cfRule type="containsErrors" dxfId="1167" priority="1538">
      <formula>ISERROR(BP158)</formula>
    </cfRule>
  </conditionalFormatting>
  <conditionalFormatting sqref="BY153:BZ153">
    <cfRule type="containsErrors" dxfId="1166" priority="1537">
      <formula>ISERROR(BY153)</formula>
    </cfRule>
  </conditionalFormatting>
  <conditionalFormatting sqref="BT159">
    <cfRule type="containsErrors" dxfId="1165" priority="1534">
      <formula>ISERROR(BT159)</formula>
    </cfRule>
  </conditionalFormatting>
  <conditionalFormatting sqref="BT158">
    <cfRule type="containsErrors" dxfId="1164" priority="1533">
      <formula>ISERROR(BT158)</formula>
    </cfRule>
  </conditionalFormatting>
  <conditionalFormatting sqref="BT157:BT158">
    <cfRule type="containsErrors" dxfId="1163" priority="1532">
      <formula>ISERROR(BT157)</formula>
    </cfRule>
  </conditionalFormatting>
  <conditionalFormatting sqref="CP159">
    <cfRule type="containsErrors" dxfId="1162" priority="1526">
      <formula>ISERROR(CP159)</formula>
    </cfRule>
  </conditionalFormatting>
  <conditionalFormatting sqref="CE159">
    <cfRule type="containsErrors" dxfId="1161" priority="1530">
      <formula>ISERROR(CE159)</formula>
    </cfRule>
  </conditionalFormatting>
  <conditionalFormatting sqref="CE158">
    <cfRule type="containsErrors" dxfId="1160" priority="1529">
      <formula>ISERROR(CE158)</formula>
    </cfRule>
  </conditionalFormatting>
  <conditionalFormatting sqref="CE157:CE158">
    <cfRule type="containsErrors" dxfId="1159" priority="1528">
      <formula>ISERROR(CE157)</formula>
    </cfRule>
  </conditionalFormatting>
  <conditionalFormatting sqref="CE156">
    <cfRule type="containsErrors" dxfId="1158" priority="1527">
      <formula>ISERROR(CE156)</formula>
    </cfRule>
  </conditionalFormatting>
  <conditionalFormatting sqref="CP157:CP158">
    <cfRule type="containsErrors" dxfId="1157" priority="1524">
      <formula>ISERROR(CP157)</formula>
    </cfRule>
  </conditionalFormatting>
  <conditionalFormatting sqref="CP158">
    <cfRule type="containsErrors" dxfId="1156" priority="1525">
      <formula>ISERROR(CP158)</formula>
    </cfRule>
  </conditionalFormatting>
  <conditionalFormatting sqref="CP156">
    <cfRule type="containsErrors" dxfId="1155" priority="1523">
      <formula>ISERROR(CP156)</formula>
    </cfRule>
  </conditionalFormatting>
  <conditionalFormatting sqref="DA159">
    <cfRule type="containsErrors" dxfId="1154" priority="1522">
      <formula>ISERROR(DA159)</formula>
    </cfRule>
  </conditionalFormatting>
  <conditionalFormatting sqref="DA158">
    <cfRule type="containsErrors" dxfId="1153" priority="1521">
      <formula>ISERROR(DA158)</formula>
    </cfRule>
  </conditionalFormatting>
  <conditionalFormatting sqref="DA157:DA158">
    <cfRule type="containsErrors" dxfId="1152" priority="1520">
      <formula>ISERROR(DA157)</formula>
    </cfRule>
  </conditionalFormatting>
  <conditionalFormatting sqref="DA156">
    <cfRule type="containsErrors" dxfId="1151" priority="1519">
      <formula>ISERROR(DA156)</formula>
    </cfRule>
  </conditionalFormatting>
  <conditionalFormatting sqref="BQ153">
    <cfRule type="containsErrors" dxfId="1150" priority="1517">
      <formula>ISERROR(BQ153)</formula>
    </cfRule>
  </conditionalFormatting>
  <conditionalFormatting sqref="BQ153">
    <cfRule type="containsErrors" dxfId="1149" priority="1518">
      <formula>ISERROR(BQ153)</formula>
    </cfRule>
  </conditionalFormatting>
  <conditionalFormatting sqref="BR153:BR160">
    <cfRule type="containsErrors" dxfId="1148" priority="1516">
      <formula>ISERROR(BR153)</formula>
    </cfRule>
  </conditionalFormatting>
  <conditionalFormatting sqref="CC153:CC160">
    <cfRule type="containsErrors" dxfId="1147" priority="1515">
      <formula>ISERROR(CC153)</formula>
    </cfRule>
  </conditionalFormatting>
  <conditionalFormatting sqref="CN153:CN160">
    <cfRule type="containsErrors" dxfId="1146" priority="1514">
      <formula>ISERROR(CN153)</formula>
    </cfRule>
  </conditionalFormatting>
  <conditionalFormatting sqref="CY153:CY160">
    <cfRule type="containsErrors" dxfId="1145" priority="1513">
      <formula>ISERROR(CY153)</formula>
    </cfRule>
  </conditionalFormatting>
  <conditionalFormatting sqref="DI153:DI160">
    <cfRule type="containsErrors" dxfId="1144" priority="1512">
      <formula>ISERROR(DI153)</formula>
    </cfRule>
  </conditionalFormatting>
  <conditionalFormatting sqref="BP138:BQ152 DH139:DH151 CW139:CX151 CL139:CM151 CF139:CI151 BU139:CB151 BS139:BS151 BS138:CB138 BS152:CB152 CD138:CM138 CD152:CM152 CD139:CD151 CO138:CX138 CO152:CX152 CO139:CT151 CZ138:DH138 CZ152:DH152 CZ139:DE151">
    <cfRule type="containsErrors" dxfId="1143" priority="1511">
      <formula>ISERROR(BP138)</formula>
    </cfRule>
  </conditionalFormatting>
  <conditionalFormatting sqref="CA137">
    <cfRule type="containsErrors" dxfId="1142" priority="1510">
      <formula>ISERROR(CA137)</formula>
    </cfRule>
  </conditionalFormatting>
  <conditionalFormatting sqref="CL137">
    <cfRule type="containsErrors" dxfId="1141" priority="1509">
      <formula>ISERROR(CL137)</formula>
    </cfRule>
  </conditionalFormatting>
  <conditionalFormatting sqref="CW137">
    <cfRule type="containsErrors" dxfId="1140" priority="1508">
      <formula>ISERROR(CW137)</formula>
    </cfRule>
  </conditionalFormatting>
  <conditionalFormatting sqref="DH137">
    <cfRule type="containsErrors" dxfId="1139" priority="1507">
      <formula>ISERROR(DH137)</formula>
    </cfRule>
  </conditionalFormatting>
  <conditionalFormatting sqref="CJ139:CK151">
    <cfRule type="containsErrors" dxfId="1138" priority="1506">
      <formula>ISERROR(CJ139)</formula>
    </cfRule>
  </conditionalFormatting>
  <conditionalFormatting sqref="CU139:CV151">
    <cfRule type="containsErrors" dxfId="1137" priority="1505">
      <formula>ISERROR(CU139)</formula>
    </cfRule>
  </conditionalFormatting>
  <conditionalFormatting sqref="DF139:DG151">
    <cfRule type="containsErrors" dxfId="1136" priority="1504">
      <formula>ISERROR(DF139)</formula>
    </cfRule>
  </conditionalFormatting>
  <conditionalFormatting sqref="CE139:CE151">
    <cfRule type="containsErrors" dxfId="1135" priority="1503">
      <formula>ISERROR(CE139)</formula>
    </cfRule>
  </conditionalFormatting>
  <conditionalFormatting sqref="BT139:BT151">
    <cfRule type="containsErrors" dxfId="1134" priority="1502">
      <formula>ISERROR(BT139)</formula>
    </cfRule>
  </conditionalFormatting>
  <conditionalFormatting sqref="BR138 BR152">
    <cfRule type="containsErrors" dxfId="1133" priority="1501">
      <formula>ISERROR(BR138)</formula>
    </cfRule>
  </conditionalFormatting>
  <conditionalFormatting sqref="CC138 CC152">
    <cfRule type="containsErrors" dxfId="1132" priority="1500">
      <formula>ISERROR(CC138)</formula>
    </cfRule>
  </conditionalFormatting>
  <conditionalFormatting sqref="CN138 CN152">
    <cfRule type="containsErrors" dxfId="1131" priority="1499">
      <formula>ISERROR(CN138)</formula>
    </cfRule>
  </conditionalFormatting>
  <conditionalFormatting sqref="CY138 CY152">
    <cfRule type="containsErrors" dxfId="1130" priority="1498">
      <formula>ISERROR(CY138)</formula>
    </cfRule>
  </conditionalFormatting>
  <conditionalFormatting sqref="CB137">
    <cfRule type="containsErrors" dxfId="1129" priority="1497">
      <formula>ISERROR(CB137)</formula>
    </cfRule>
  </conditionalFormatting>
  <conditionalFormatting sqref="CM137">
    <cfRule type="containsErrors" dxfId="1128" priority="1496">
      <formula>ISERROR(CM137)</formula>
    </cfRule>
  </conditionalFormatting>
  <conditionalFormatting sqref="CX137">
    <cfRule type="containsErrors" dxfId="1127" priority="1495">
      <formula>ISERROR(CX137)</formula>
    </cfRule>
  </conditionalFormatting>
  <conditionalFormatting sqref="DI138:DI152">
    <cfRule type="containsErrors" dxfId="1126" priority="1494">
      <formula>ISERROR(DI138)</formula>
    </cfRule>
  </conditionalFormatting>
  <conditionalFormatting sqref="DI137">
    <cfRule type="containsErrors" dxfId="1125" priority="1493">
      <formula>ISERROR(DI137)</formula>
    </cfRule>
  </conditionalFormatting>
  <conditionalFormatting sqref="CN139:CN151">
    <cfRule type="containsErrors" dxfId="1124" priority="1490">
      <formula>ISERROR(CN139)</formula>
    </cfRule>
  </conditionalFormatting>
  <conditionalFormatting sqref="BR139:BR151">
    <cfRule type="containsErrors" dxfId="1123" priority="1492">
      <formula>ISERROR(BR139)</formula>
    </cfRule>
  </conditionalFormatting>
  <conditionalFormatting sqref="CC139:CC151">
    <cfRule type="containsErrors" dxfId="1122" priority="1491">
      <formula>ISERROR(CC139)</formula>
    </cfRule>
  </conditionalFormatting>
  <conditionalFormatting sqref="CY139:CY151">
    <cfRule type="containsErrors" dxfId="1121" priority="1489">
      <formula>ISERROR(CY139)</formula>
    </cfRule>
  </conditionalFormatting>
  <conditionalFormatting sqref="CA162">
    <cfRule type="containsErrors" dxfId="1120" priority="1488">
      <formula>ISERROR(CA162)</formula>
    </cfRule>
  </conditionalFormatting>
  <conditionalFormatting sqref="CL162">
    <cfRule type="containsErrors" dxfId="1119" priority="1487">
      <formula>ISERROR(CL162)</formula>
    </cfRule>
  </conditionalFormatting>
  <conditionalFormatting sqref="CW162">
    <cfRule type="containsErrors" dxfId="1118" priority="1486">
      <formula>ISERROR(CW162)</formula>
    </cfRule>
  </conditionalFormatting>
  <conditionalFormatting sqref="DH162">
    <cfRule type="containsErrors" dxfId="1117" priority="1485">
      <formula>ISERROR(DH162)</formula>
    </cfRule>
  </conditionalFormatting>
  <conditionalFormatting sqref="BP185:BQ186 BP184">
    <cfRule type="containsErrors" dxfId="1116" priority="1484">
      <formula>ISERROR(BP184)</formula>
    </cfRule>
  </conditionalFormatting>
  <conditionalFormatting sqref="BY179:BZ179">
    <cfRule type="containsErrors" dxfId="1115" priority="1483">
      <formula>ISERROR(BY179)</formula>
    </cfRule>
  </conditionalFormatting>
  <conditionalFormatting sqref="CE179 CE180:CF180">
    <cfRule type="containsErrors" dxfId="1114" priority="1482">
      <formula>ISERROR(CE179)</formula>
    </cfRule>
  </conditionalFormatting>
  <conditionalFormatting sqref="BU182:CB185 CF182:CM185 CQ182:CX185 DB182:DH185 BP180:BQ183 BP179 BS186:CB186 BS179:CB181 BS182:BS185 CD186:CM186 CD179:CM181 CD182:CD185 CO186:CX186 CO179:CX181 CO182:CO185 CZ186:DH186 CZ179:DH181 CZ182:CZ185">
    <cfRule type="containsErrors" dxfId="1113" priority="1481">
      <formula>ISERROR(BP179)</formula>
    </cfRule>
  </conditionalFormatting>
  <conditionalFormatting sqref="BT185">
    <cfRule type="containsErrors" dxfId="1112" priority="1480">
      <formula>ISERROR(BT185)</formula>
    </cfRule>
  </conditionalFormatting>
  <conditionalFormatting sqref="BT184">
    <cfRule type="containsErrors" dxfId="1111" priority="1479">
      <formula>ISERROR(BT184)</formula>
    </cfRule>
  </conditionalFormatting>
  <conditionalFormatting sqref="BT183:BT184">
    <cfRule type="containsErrors" dxfId="1110" priority="1478">
      <formula>ISERROR(BT183)</formula>
    </cfRule>
  </conditionalFormatting>
  <conditionalFormatting sqref="BT182">
    <cfRule type="containsErrors" dxfId="1109" priority="1477">
      <formula>ISERROR(BT182)</formula>
    </cfRule>
  </conditionalFormatting>
  <conditionalFormatting sqref="CE185">
    <cfRule type="containsErrors" dxfId="1108" priority="1476">
      <formula>ISERROR(CE185)</formula>
    </cfRule>
  </conditionalFormatting>
  <conditionalFormatting sqref="CE184">
    <cfRule type="containsErrors" dxfId="1107" priority="1475">
      <formula>ISERROR(CE184)</formula>
    </cfRule>
  </conditionalFormatting>
  <conditionalFormatting sqref="CE183:CE184">
    <cfRule type="containsErrors" dxfId="1106" priority="1474">
      <formula>ISERROR(CE183)</formula>
    </cfRule>
  </conditionalFormatting>
  <conditionalFormatting sqref="CE182">
    <cfRule type="containsErrors" dxfId="1105" priority="1473">
      <formula>ISERROR(CE182)</formula>
    </cfRule>
  </conditionalFormatting>
  <conditionalFormatting sqref="CP185">
    <cfRule type="containsErrors" dxfId="1104" priority="1472">
      <formula>ISERROR(CP185)</formula>
    </cfRule>
  </conditionalFormatting>
  <conditionalFormatting sqref="CP184">
    <cfRule type="containsErrors" dxfId="1103" priority="1471">
      <formula>ISERROR(CP184)</formula>
    </cfRule>
  </conditionalFormatting>
  <conditionalFormatting sqref="CP183:CP184">
    <cfRule type="containsErrors" dxfId="1102" priority="1470">
      <formula>ISERROR(CP183)</formula>
    </cfRule>
  </conditionalFormatting>
  <conditionalFormatting sqref="CP182">
    <cfRule type="containsErrors" dxfId="1101" priority="1469">
      <formula>ISERROR(CP182)</formula>
    </cfRule>
  </conditionalFormatting>
  <conditionalFormatting sqref="DA185">
    <cfRule type="containsErrors" dxfId="1100" priority="1468">
      <formula>ISERROR(DA185)</formula>
    </cfRule>
  </conditionalFormatting>
  <conditionalFormatting sqref="DA184">
    <cfRule type="containsErrors" dxfId="1099" priority="1467">
      <formula>ISERROR(DA184)</formula>
    </cfRule>
  </conditionalFormatting>
  <conditionalFormatting sqref="DA183:DA184">
    <cfRule type="containsErrors" dxfId="1098" priority="1466">
      <formula>ISERROR(DA183)</formula>
    </cfRule>
  </conditionalFormatting>
  <conditionalFormatting sqref="DA182">
    <cfRule type="containsErrors" dxfId="1097" priority="1465">
      <formula>ISERROR(DA182)</formula>
    </cfRule>
  </conditionalFormatting>
  <conditionalFormatting sqref="BQ179">
    <cfRule type="containsErrors" dxfId="1096" priority="1463">
      <formula>ISERROR(BQ179)</formula>
    </cfRule>
  </conditionalFormatting>
  <conditionalFormatting sqref="BQ179">
    <cfRule type="containsErrors" dxfId="1095" priority="1464">
      <formula>ISERROR(BQ179)</formula>
    </cfRule>
  </conditionalFormatting>
  <conditionalFormatting sqref="BR179:BR186">
    <cfRule type="containsErrors" dxfId="1094" priority="1462">
      <formula>ISERROR(BR179)</formula>
    </cfRule>
  </conditionalFormatting>
  <conditionalFormatting sqref="CC179:CC186">
    <cfRule type="containsErrors" dxfId="1093" priority="1461">
      <formula>ISERROR(CC179)</formula>
    </cfRule>
  </conditionalFormatting>
  <conditionalFormatting sqref="CN179:CN186">
    <cfRule type="containsErrors" dxfId="1092" priority="1460">
      <formula>ISERROR(CN179)</formula>
    </cfRule>
  </conditionalFormatting>
  <conditionalFormatting sqref="CY179:CY186">
    <cfRule type="containsErrors" dxfId="1091" priority="1459">
      <formula>ISERROR(CY179)</formula>
    </cfRule>
  </conditionalFormatting>
  <conditionalFormatting sqref="DI179:DI186">
    <cfRule type="containsErrors" dxfId="1090" priority="1458">
      <formula>ISERROR(DI179)</formula>
    </cfRule>
  </conditionalFormatting>
  <conditionalFormatting sqref="BP164:BQ178 DH165:DH177 CW165:CX177 CL165:CM177 CF165:CI177 BU165:CB177 BS165:BS177 BS164:CB164 BS178:CB178 CD164:CM164 CD178:CM178 CD165:CD177 CO164:CX164 CO178:CX178 CO165:CT177 CZ164:DH164 CZ178:DH178 CZ165:DE177">
    <cfRule type="containsErrors" dxfId="1089" priority="1457">
      <formula>ISERROR(BP164)</formula>
    </cfRule>
  </conditionalFormatting>
  <conditionalFormatting sqref="CA163">
    <cfRule type="containsErrors" dxfId="1088" priority="1456">
      <formula>ISERROR(CA163)</formula>
    </cfRule>
  </conditionalFormatting>
  <conditionalFormatting sqref="CL163">
    <cfRule type="containsErrors" dxfId="1087" priority="1455">
      <formula>ISERROR(CL163)</formula>
    </cfRule>
  </conditionalFormatting>
  <conditionalFormatting sqref="CW163">
    <cfRule type="containsErrors" dxfId="1086" priority="1454">
      <formula>ISERROR(CW163)</formula>
    </cfRule>
  </conditionalFormatting>
  <conditionalFormatting sqref="DH163">
    <cfRule type="containsErrors" dxfId="1085" priority="1453">
      <formula>ISERROR(DH163)</formula>
    </cfRule>
  </conditionalFormatting>
  <conditionalFormatting sqref="CJ165:CK177">
    <cfRule type="containsErrors" dxfId="1084" priority="1452">
      <formula>ISERROR(CJ165)</formula>
    </cfRule>
  </conditionalFormatting>
  <conditionalFormatting sqref="CU165:CV177">
    <cfRule type="containsErrors" dxfId="1083" priority="1451">
      <formula>ISERROR(CU165)</formula>
    </cfRule>
  </conditionalFormatting>
  <conditionalFormatting sqref="DF165:DG177">
    <cfRule type="containsErrors" dxfId="1082" priority="1450">
      <formula>ISERROR(DF165)</formula>
    </cfRule>
  </conditionalFormatting>
  <conditionalFormatting sqref="CE165:CE177">
    <cfRule type="containsErrors" dxfId="1081" priority="1449">
      <formula>ISERROR(CE165)</formula>
    </cfRule>
  </conditionalFormatting>
  <conditionalFormatting sqref="BT165:BT177">
    <cfRule type="containsErrors" dxfId="1080" priority="1448">
      <formula>ISERROR(BT165)</formula>
    </cfRule>
  </conditionalFormatting>
  <conditionalFormatting sqref="BR164 BR178">
    <cfRule type="containsErrors" dxfId="1079" priority="1447">
      <formula>ISERROR(BR164)</formula>
    </cfRule>
  </conditionalFormatting>
  <conditionalFormatting sqref="CC164 CC178">
    <cfRule type="containsErrors" dxfId="1078" priority="1446">
      <formula>ISERROR(CC164)</formula>
    </cfRule>
  </conditionalFormatting>
  <conditionalFormatting sqref="CN164 CN178">
    <cfRule type="containsErrors" dxfId="1077" priority="1445">
      <formula>ISERROR(CN164)</formula>
    </cfRule>
  </conditionalFormatting>
  <conditionalFormatting sqref="CY164 CY178">
    <cfRule type="containsErrors" dxfId="1076" priority="1444">
      <formula>ISERROR(CY164)</formula>
    </cfRule>
  </conditionalFormatting>
  <conditionalFormatting sqref="CB163">
    <cfRule type="containsErrors" dxfId="1075" priority="1443">
      <formula>ISERROR(CB163)</formula>
    </cfRule>
  </conditionalFormatting>
  <conditionalFormatting sqref="CM163">
    <cfRule type="containsErrors" dxfId="1074" priority="1442">
      <formula>ISERROR(CM163)</formula>
    </cfRule>
  </conditionalFormatting>
  <conditionalFormatting sqref="CX163">
    <cfRule type="containsErrors" dxfId="1073" priority="1441">
      <formula>ISERROR(CX163)</formula>
    </cfRule>
  </conditionalFormatting>
  <conditionalFormatting sqref="DI164:DI178">
    <cfRule type="containsErrors" dxfId="1072" priority="1440">
      <formula>ISERROR(DI164)</formula>
    </cfRule>
  </conditionalFormatting>
  <conditionalFormatting sqref="DI163">
    <cfRule type="containsErrors" dxfId="1071" priority="1439">
      <formula>ISERROR(DI163)</formula>
    </cfRule>
  </conditionalFormatting>
  <conditionalFormatting sqref="CN165:CN177">
    <cfRule type="containsErrors" dxfId="1070" priority="1436">
      <formula>ISERROR(CN165)</formula>
    </cfRule>
  </conditionalFormatting>
  <conditionalFormatting sqref="BR165:BR177">
    <cfRule type="containsErrors" dxfId="1069" priority="1438">
      <formula>ISERROR(BR165)</formula>
    </cfRule>
  </conditionalFormatting>
  <conditionalFormatting sqref="CC165:CC177">
    <cfRule type="containsErrors" dxfId="1068" priority="1437">
      <formula>ISERROR(CC165)</formula>
    </cfRule>
  </conditionalFormatting>
  <conditionalFormatting sqref="CY165:CY177">
    <cfRule type="containsErrors" dxfId="1067" priority="1435">
      <formula>ISERROR(CY165)</formula>
    </cfRule>
  </conditionalFormatting>
  <conditionalFormatting sqref="CA188">
    <cfRule type="containsErrors" dxfId="1066" priority="1434">
      <formula>ISERROR(CA188)</formula>
    </cfRule>
  </conditionalFormatting>
  <conditionalFormatting sqref="CL188">
    <cfRule type="containsErrors" dxfId="1065" priority="1433">
      <formula>ISERROR(CL188)</formula>
    </cfRule>
  </conditionalFormatting>
  <conditionalFormatting sqref="CW188">
    <cfRule type="containsErrors" dxfId="1064" priority="1432">
      <formula>ISERROR(CW188)</formula>
    </cfRule>
  </conditionalFormatting>
  <conditionalFormatting sqref="DH188">
    <cfRule type="containsErrors" dxfId="1063" priority="1431">
      <formula>ISERROR(DH188)</formula>
    </cfRule>
  </conditionalFormatting>
  <conditionalFormatting sqref="BP211:BQ212 BP210">
    <cfRule type="containsErrors" dxfId="1062" priority="1430">
      <formula>ISERROR(BP210)</formula>
    </cfRule>
  </conditionalFormatting>
  <conditionalFormatting sqref="BY205:BZ205">
    <cfRule type="containsErrors" dxfId="1061" priority="1429">
      <formula>ISERROR(BY205)</formula>
    </cfRule>
  </conditionalFormatting>
  <conditionalFormatting sqref="CE205 CE206:CF206">
    <cfRule type="containsErrors" dxfId="1060" priority="1428">
      <formula>ISERROR(CE205)</formula>
    </cfRule>
  </conditionalFormatting>
  <conditionalFormatting sqref="BU208:CB211 CF208:CM211 CQ208:CX211 DB208:DH211 BP206:BQ209 BP205 BS212:CB212 BS205:CB207 BS208:BS211 CD212:CM212 CD205:CM207 CD208:CD211 CO212:CX212 CO205:CX207 CO208:CO211 CZ212:DH212 CZ205:DH207 CZ208:CZ211">
    <cfRule type="containsErrors" dxfId="1059" priority="1427">
      <formula>ISERROR(BP205)</formula>
    </cfRule>
  </conditionalFormatting>
  <conditionalFormatting sqref="BT211">
    <cfRule type="containsErrors" dxfId="1058" priority="1426">
      <formula>ISERROR(BT211)</formula>
    </cfRule>
  </conditionalFormatting>
  <conditionalFormatting sqref="BT210">
    <cfRule type="containsErrors" dxfId="1057" priority="1425">
      <formula>ISERROR(BT210)</formula>
    </cfRule>
  </conditionalFormatting>
  <conditionalFormatting sqref="BT209:BT210">
    <cfRule type="containsErrors" dxfId="1056" priority="1424">
      <formula>ISERROR(BT209)</formula>
    </cfRule>
  </conditionalFormatting>
  <conditionalFormatting sqref="BT208">
    <cfRule type="containsErrors" dxfId="1055" priority="1423">
      <formula>ISERROR(BT208)</formula>
    </cfRule>
  </conditionalFormatting>
  <conditionalFormatting sqref="CE211">
    <cfRule type="containsErrors" dxfId="1054" priority="1422">
      <formula>ISERROR(CE211)</formula>
    </cfRule>
  </conditionalFormatting>
  <conditionalFormatting sqref="CE210">
    <cfRule type="containsErrors" dxfId="1053" priority="1421">
      <formula>ISERROR(CE210)</formula>
    </cfRule>
  </conditionalFormatting>
  <conditionalFormatting sqref="CE209:CE210">
    <cfRule type="containsErrors" dxfId="1052" priority="1420">
      <formula>ISERROR(CE209)</formula>
    </cfRule>
  </conditionalFormatting>
  <conditionalFormatting sqref="CE208">
    <cfRule type="containsErrors" dxfId="1051" priority="1419">
      <formula>ISERROR(CE208)</formula>
    </cfRule>
  </conditionalFormatting>
  <conditionalFormatting sqref="CP211">
    <cfRule type="containsErrors" dxfId="1050" priority="1418">
      <formula>ISERROR(CP211)</formula>
    </cfRule>
  </conditionalFormatting>
  <conditionalFormatting sqref="CP210">
    <cfRule type="containsErrors" dxfId="1049" priority="1417">
      <formula>ISERROR(CP210)</formula>
    </cfRule>
  </conditionalFormatting>
  <conditionalFormatting sqref="CP209:CP210">
    <cfRule type="containsErrors" dxfId="1048" priority="1416">
      <formula>ISERROR(CP209)</formula>
    </cfRule>
  </conditionalFormatting>
  <conditionalFormatting sqref="CP208">
    <cfRule type="containsErrors" dxfId="1047" priority="1415">
      <formula>ISERROR(CP208)</formula>
    </cfRule>
  </conditionalFormatting>
  <conditionalFormatting sqref="DA211">
    <cfRule type="containsErrors" dxfId="1046" priority="1414">
      <formula>ISERROR(DA211)</formula>
    </cfRule>
  </conditionalFormatting>
  <conditionalFormatting sqref="DA210">
    <cfRule type="containsErrors" dxfId="1045" priority="1413">
      <formula>ISERROR(DA210)</formula>
    </cfRule>
  </conditionalFormatting>
  <conditionalFormatting sqref="DA209:DA210">
    <cfRule type="containsErrors" dxfId="1044" priority="1412">
      <formula>ISERROR(DA209)</formula>
    </cfRule>
  </conditionalFormatting>
  <conditionalFormatting sqref="DA208">
    <cfRule type="containsErrors" dxfId="1043" priority="1411">
      <formula>ISERROR(DA208)</formula>
    </cfRule>
  </conditionalFormatting>
  <conditionalFormatting sqref="BQ205">
    <cfRule type="containsErrors" dxfId="1042" priority="1409">
      <formula>ISERROR(BQ205)</formula>
    </cfRule>
  </conditionalFormatting>
  <conditionalFormatting sqref="BQ205">
    <cfRule type="containsErrors" dxfId="1041" priority="1410">
      <formula>ISERROR(BQ205)</formula>
    </cfRule>
  </conditionalFormatting>
  <conditionalFormatting sqref="BR205:BR212">
    <cfRule type="containsErrors" dxfId="1040" priority="1408">
      <formula>ISERROR(BR205)</formula>
    </cfRule>
  </conditionalFormatting>
  <conditionalFormatting sqref="CC205:CC212">
    <cfRule type="containsErrors" dxfId="1039" priority="1407">
      <formula>ISERROR(CC205)</formula>
    </cfRule>
  </conditionalFormatting>
  <conditionalFormatting sqref="CN205:CN212">
    <cfRule type="containsErrors" dxfId="1038" priority="1406">
      <formula>ISERROR(CN205)</formula>
    </cfRule>
  </conditionalFormatting>
  <conditionalFormatting sqref="CY205:CY212">
    <cfRule type="containsErrors" dxfId="1037" priority="1405">
      <formula>ISERROR(CY205)</formula>
    </cfRule>
  </conditionalFormatting>
  <conditionalFormatting sqref="DI205:DI212">
    <cfRule type="containsErrors" dxfId="1036" priority="1404">
      <formula>ISERROR(DI205)</formula>
    </cfRule>
  </conditionalFormatting>
  <conditionalFormatting sqref="BP190:BQ204 DH191:DH203 CW191:CX203 CL191:CM203 CF191:CI203 BU191:CB203 BS191:BS203 BS190:CB190 BS204:CB204 CD190:CM190 CD204:CM204 CD191:CD203 CO190:CX190 CO204:CX204 CO191:CT203 CZ190:DH190 CZ204:DH204 CZ191:DE203">
    <cfRule type="containsErrors" dxfId="1035" priority="1403">
      <formula>ISERROR(BP190)</formula>
    </cfRule>
  </conditionalFormatting>
  <conditionalFormatting sqref="CA189">
    <cfRule type="containsErrors" dxfId="1034" priority="1402">
      <formula>ISERROR(CA189)</formula>
    </cfRule>
  </conditionalFormatting>
  <conditionalFormatting sqref="CL189">
    <cfRule type="containsErrors" dxfId="1033" priority="1401">
      <formula>ISERROR(CL189)</formula>
    </cfRule>
  </conditionalFormatting>
  <conditionalFormatting sqref="CW189">
    <cfRule type="containsErrors" dxfId="1032" priority="1400">
      <formula>ISERROR(CW189)</formula>
    </cfRule>
  </conditionalFormatting>
  <conditionalFormatting sqref="DH189">
    <cfRule type="containsErrors" dxfId="1031" priority="1399">
      <formula>ISERROR(DH189)</formula>
    </cfRule>
  </conditionalFormatting>
  <conditionalFormatting sqref="CJ191:CK203">
    <cfRule type="containsErrors" dxfId="1030" priority="1398">
      <formula>ISERROR(CJ191)</formula>
    </cfRule>
  </conditionalFormatting>
  <conditionalFormatting sqref="CU191:CV203">
    <cfRule type="containsErrors" dxfId="1029" priority="1397">
      <formula>ISERROR(CU191)</formula>
    </cfRule>
  </conditionalFormatting>
  <conditionalFormatting sqref="DF191:DG203">
    <cfRule type="containsErrors" dxfId="1028" priority="1396">
      <formula>ISERROR(DF191)</formula>
    </cfRule>
  </conditionalFormatting>
  <conditionalFormatting sqref="CE191:CE203">
    <cfRule type="containsErrors" dxfId="1027" priority="1395">
      <formula>ISERROR(CE191)</formula>
    </cfRule>
  </conditionalFormatting>
  <conditionalFormatting sqref="BT191:BT203">
    <cfRule type="containsErrors" dxfId="1026" priority="1394">
      <formula>ISERROR(BT191)</formula>
    </cfRule>
  </conditionalFormatting>
  <conditionalFormatting sqref="BR190 BR204">
    <cfRule type="containsErrors" dxfId="1025" priority="1393">
      <formula>ISERROR(BR190)</formula>
    </cfRule>
  </conditionalFormatting>
  <conditionalFormatting sqref="CC190 CC204">
    <cfRule type="containsErrors" dxfId="1024" priority="1392">
      <formula>ISERROR(CC190)</formula>
    </cfRule>
  </conditionalFormatting>
  <conditionalFormatting sqref="CN190 CN204">
    <cfRule type="containsErrors" dxfId="1023" priority="1391">
      <formula>ISERROR(CN190)</formula>
    </cfRule>
  </conditionalFormatting>
  <conditionalFormatting sqref="CY190 CY204">
    <cfRule type="containsErrors" dxfId="1022" priority="1390">
      <formula>ISERROR(CY190)</formula>
    </cfRule>
  </conditionalFormatting>
  <conditionalFormatting sqref="CB189">
    <cfRule type="containsErrors" dxfId="1021" priority="1389">
      <formula>ISERROR(CB189)</formula>
    </cfRule>
  </conditionalFormatting>
  <conditionalFormatting sqref="CM189">
    <cfRule type="containsErrors" dxfId="1020" priority="1388">
      <formula>ISERROR(CM189)</formula>
    </cfRule>
  </conditionalFormatting>
  <conditionalFormatting sqref="CX189">
    <cfRule type="containsErrors" dxfId="1019" priority="1387">
      <formula>ISERROR(CX189)</formula>
    </cfRule>
  </conditionalFormatting>
  <conditionalFormatting sqref="DI190:DI204">
    <cfRule type="containsErrors" dxfId="1018" priority="1386">
      <formula>ISERROR(DI190)</formula>
    </cfRule>
  </conditionalFormatting>
  <conditionalFormatting sqref="DI189">
    <cfRule type="containsErrors" dxfId="1017" priority="1385">
      <formula>ISERROR(DI189)</formula>
    </cfRule>
  </conditionalFormatting>
  <conditionalFormatting sqref="CN191:CN203">
    <cfRule type="containsErrors" dxfId="1016" priority="1382">
      <formula>ISERROR(CN191)</formula>
    </cfRule>
  </conditionalFormatting>
  <conditionalFormatting sqref="BR191:BR203">
    <cfRule type="containsErrors" dxfId="1015" priority="1384">
      <formula>ISERROR(BR191)</formula>
    </cfRule>
  </conditionalFormatting>
  <conditionalFormatting sqref="CC191:CC203">
    <cfRule type="containsErrors" dxfId="1014" priority="1383">
      <formula>ISERROR(CC191)</formula>
    </cfRule>
  </conditionalFormatting>
  <conditionalFormatting sqref="CY191:CY203">
    <cfRule type="containsErrors" dxfId="1013" priority="1381">
      <formula>ISERROR(CY191)</formula>
    </cfRule>
  </conditionalFormatting>
  <conditionalFormatting sqref="CA214">
    <cfRule type="containsErrors" dxfId="1012" priority="1380">
      <formula>ISERROR(CA214)</formula>
    </cfRule>
  </conditionalFormatting>
  <conditionalFormatting sqref="CL214">
    <cfRule type="containsErrors" dxfId="1011" priority="1379">
      <formula>ISERROR(CL214)</formula>
    </cfRule>
  </conditionalFormatting>
  <conditionalFormatting sqref="CW214">
    <cfRule type="containsErrors" dxfId="1010" priority="1378">
      <formula>ISERROR(CW214)</formula>
    </cfRule>
  </conditionalFormatting>
  <conditionalFormatting sqref="DH214">
    <cfRule type="containsErrors" dxfId="1009" priority="1377">
      <formula>ISERROR(DH214)</formula>
    </cfRule>
  </conditionalFormatting>
  <conditionalFormatting sqref="BP237:BQ238 BP236">
    <cfRule type="containsErrors" dxfId="1008" priority="1376">
      <formula>ISERROR(BP236)</formula>
    </cfRule>
  </conditionalFormatting>
  <conditionalFormatting sqref="BY231:BZ231">
    <cfRule type="containsErrors" dxfId="1007" priority="1375">
      <formula>ISERROR(BY231)</formula>
    </cfRule>
  </conditionalFormatting>
  <conditionalFormatting sqref="CE231 CE232:CF232">
    <cfRule type="containsErrors" dxfId="1006" priority="1374">
      <formula>ISERROR(CE231)</formula>
    </cfRule>
  </conditionalFormatting>
  <conditionalFormatting sqref="BU234:CB237 CF234:CM237 CQ234:CX237 DB234:DH237 BP232:BQ235 BP231 BS238:CB238 BS231:CB233 BS234:BS237 CD238:CM238 CD231:CM233 CD234:CD237 CO238:CX238 CO231:CX233 CO234:CO237 CZ238:DH238 CZ231:DH233 CZ234:CZ237">
    <cfRule type="containsErrors" dxfId="1005" priority="1373">
      <formula>ISERROR(BP231)</formula>
    </cfRule>
  </conditionalFormatting>
  <conditionalFormatting sqref="BT237">
    <cfRule type="containsErrors" dxfId="1004" priority="1372">
      <formula>ISERROR(BT237)</formula>
    </cfRule>
  </conditionalFormatting>
  <conditionalFormatting sqref="BT236">
    <cfRule type="containsErrors" dxfId="1003" priority="1371">
      <formula>ISERROR(BT236)</formula>
    </cfRule>
  </conditionalFormatting>
  <conditionalFormatting sqref="BT235:BT236">
    <cfRule type="containsErrors" dxfId="1002" priority="1370">
      <formula>ISERROR(BT235)</formula>
    </cfRule>
  </conditionalFormatting>
  <conditionalFormatting sqref="BT234">
    <cfRule type="containsErrors" dxfId="1001" priority="1369">
      <formula>ISERROR(BT234)</formula>
    </cfRule>
  </conditionalFormatting>
  <conditionalFormatting sqref="CE237">
    <cfRule type="containsErrors" dxfId="1000" priority="1368">
      <formula>ISERROR(CE237)</formula>
    </cfRule>
  </conditionalFormatting>
  <conditionalFormatting sqref="CE236">
    <cfRule type="containsErrors" dxfId="999" priority="1367">
      <formula>ISERROR(CE236)</formula>
    </cfRule>
  </conditionalFormatting>
  <conditionalFormatting sqref="CE235:CE236">
    <cfRule type="containsErrors" dxfId="998" priority="1366">
      <formula>ISERROR(CE235)</formula>
    </cfRule>
  </conditionalFormatting>
  <conditionalFormatting sqref="CE234">
    <cfRule type="containsErrors" dxfId="997" priority="1365">
      <formula>ISERROR(CE234)</formula>
    </cfRule>
  </conditionalFormatting>
  <conditionalFormatting sqref="CP237">
    <cfRule type="containsErrors" dxfId="996" priority="1364">
      <formula>ISERROR(CP237)</formula>
    </cfRule>
  </conditionalFormatting>
  <conditionalFormatting sqref="CP236">
    <cfRule type="containsErrors" dxfId="995" priority="1363">
      <formula>ISERROR(CP236)</formula>
    </cfRule>
  </conditionalFormatting>
  <conditionalFormatting sqref="CP235:CP236">
    <cfRule type="containsErrors" dxfId="994" priority="1362">
      <formula>ISERROR(CP235)</formula>
    </cfRule>
  </conditionalFormatting>
  <conditionalFormatting sqref="CP234">
    <cfRule type="containsErrors" dxfId="993" priority="1361">
      <formula>ISERROR(CP234)</formula>
    </cfRule>
  </conditionalFormatting>
  <conditionalFormatting sqref="DA237">
    <cfRule type="containsErrors" dxfId="992" priority="1360">
      <formula>ISERROR(DA237)</formula>
    </cfRule>
  </conditionalFormatting>
  <conditionalFormatting sqref="DA236">
    <cfRule type="containsErrors" dxfId="991" priority="1359">
      <formula>ISERROR(DA236)</formula>
    </cfRule>
  </conditionalFormatting>
  <conditionalFormatting sqref="DA235:DA236">
    <cfRule type="containsErrors" dxfId="990" priority="1358">
      <formula>ISERROR(DA235)</formula>
    </cfRule>
  </conditionalFormatting>
  <conditionalFormatting sqref="DA234">
    <cfRule type="containsErrors" dxfId="989" priority="1357">
      <formula>ISERROR(DA234)</formula>
    </cfRule>
  </conditionalFormatting>
  <conditionalFormatting sqref="BQ231">
    <cfRule type="containsErrors" dxfId="988" priority="1355">
      <formula>ISERROR(BQ231)</formula>
    </cfRule>
  </conditionalFormatting>
  <conditionalFormatting sqref="BQ231">
    <cfRule type="containsErrors" dxfId="987" priority="1356">
      <formula>ISERROR(BQ231)</formula>
    </cfRule>
  </conditionalFormatting>
  <conditionalFormatting sqref="BR231:BR238">
    <cfRule type="containsErrors" dxfId="986" priority="1354">
      <formula>ISERROR(BR231)</formula>
    </cfRule>
  </conditionalFormatting>
  <conditionalFormatting sqref="CC231:CC238">
    <cfRule type="containsErrors" dxfId="985" priority="1353">
      <formula>ISERROR(CC231)</formula>
    </cfRule>
  </conditionalFormatting>
  <conditionalFormatting sqref="CN231:CN238">
    <cfRule type="containsErrors" dxfId="984" priority="1352">
      <formula>ISERROR(CN231)</formula>
    </cfRule>
  </conditionalFormatting>
  <conditionalFormatting sqref="CY231:CY238">
    <cfRule type="containsErrors" dxfId="983" priority="1351">
      <formula>ISERROR(CY231)</formula>
    </cfRule>
  </conditionalFormatting>
  <conditionalFormatting sqref="DI231:DI238">
    <cfRule type="containsErrors" dxfId="982" priority="1350">
      <formula>ISERROR(DI231)</formula>
    </cfRule>
  </conditionalFormatting>
  <conditionalFormatting sqref="BP216:BQ230 DH217:DH229 CW217:CX229 CL217:CM229 CF217:CI229 BU217:CB229 BS217:BS229 BS216:CB216 BS230:CB230 CD216:CM216 CD230:CM230 CD217:CD229 CO216:CX216 CO230:CX230 CO217:CT229 CZ216:DH216 CZ230:DH230 CZ217:DE229">
    <cfRule type="containsErrors" dxfId="981" priority="1349">
      <formula>ISERROR(BP216)</formula>
    </cfRule>
  </conditionalFormatting>
  <conditionalFormatting sqref="CA215">
    <cfRule type="containsErrors" dxfId="980" priority="1348">
      <formula>ISERROR(CA215)</formula>
    </cfRule>
  </conditionalFormatting>
  <conditionalFormatting sqref="CL215">
    <cfRule type="containsErrors" dxfId="979" priority="1347">
      <formula>ISERROR(CL215)</formula>
    </cfRule>
  </conditionalFormatting>
  <conditionalFormatting sqref="CW215">
    <cfRule type="containsErrors" dxfId="978" priority="1346">
      <formula>ISERROR(CW215)</formula>
    </cfRule>
  </conditionalFormatting>
  <conditionalFormatting sqref="DH215">
    <cfRule type="containsErrors" dxfId="977" priority="1345">
      <formula>ISERROR(DH215)</formula>
    </cfRule>
  </conditionalFormatting>
  <conditionalFormatting sqref="CJ217:CK229">
    <cfRule type="containsErrors" dxfId="976" priority="1344">
      <formula>ISERROR(CJ217)</formula>
    </cfRule>
  </conditionalFormatting>
  <conditionalFormatting sqref="CU217:CV229">
    <cfRule type="containsErrors" dxfId="975" priority="1343">
      <formula>ISERROR(CU217)</formula>
    </cfRule>
  </conditionalFormatting>
  <conditionalFormatting sqref="DF217:DG229">
    <cfRule type="containsErrors" dxfId="974" priority="1342">
      <formula>ISERROR(DF217)</formula>
    </cfRule>
  </conditionalFormatting>
  <conditionalFormatting sqref="CE217:CE229">
    <cfRule type="containsErrors" dxfId="973" priority="1341">
      <formula>ISERROR(CE217)</formula>
    </cfRule>
  </conditionalFormatting>
  <conditionalFormatting sqref="BT217:BT229">
    <cfRule type="containsErrors" dxfId="972" priority="1340">
      <formula>ISERROR(BT217)</formula>
    </cfRule>
  </conditionalFormatting>
  <conditionalFormatting sqref="BR216 BR230">
    <cfRule type="containsErrors" dxfId="971" priority="1339">
      <formula>ISERROR(BR216)</formula>
    </cfRule>
  </conditionalFormatting>
  <conditionalFormatting sqref="CC216 CC230">
    <cfRule type="containsErrors" dxfId="970" priority="1338">
      <formula>ISERROR(CC216)</formula>
    </cfRule>
  </conditionalFormatting>
  <conditionalFormatting sqref="CN216 CN230">
    <cfRule type="containsErrors" dxfId="969" priority="1337">
      <formula>ISERROR(CN216)</formula>
    </cfRule>
  </conditionalFormatting>
  <conditionalFormatting sqref="CY216 CY230">
    <cfRule type="containsErrors" dxfId="968" priority="1336">
      <formula>ISERROR(CY216)</formula>
    </cfRule>
  </conditionalFormatting>
  <conditionalFormatting sqref="CB215">
    <cfRule type="containsErrors" dxfId="967" priority="1335">
      <formula>ISERROR(CB215)</formula>
    </cfRule>
  </conditionalFormatting>
  <conditionalFormatting sqref="CM215">
    <cfRule type="containsErrors" dxfId="966" priority="1334">
      <formula>ISERROR(CM215)</formula>
    </cfRule>
  </conditionalFormatting>
  <conditionalFormatting sqref="CX215">
    <cfRule type="containsErrors" dxfId="965" priority="1333">
      <formula>ISERROR(CX215)</formula>
    </cfRule>
  </conditionalFormatting>
  <conditionalFormatting sqref="DI216:DI230">
    <cfRule type="containsErrors" dxfId="964" priority="1332">
      <formula>ISERROR(DI216)</formula>
    </cfRule>
  </conditionalFormatting>
  <conditionalFormatting sqref="DI215">
    <cfRule type="containsErrors" dxfId="963" priority="1331">
      <formula>ISERROR(DI215)</formula>
    </cfRule>
  </conditionalFormatting>
  <conditionalFormatting sqref="CN217:CN229">
    <cfRule type="containsErrors" dxfId="962" priority="1328">
      <formula>ISERROR(CN217)</formula>
    </cfRule>
  </conditionalFormatting>
  <conditionalFormatting sqref="BR217:BR229">
    <cfRule type="containsErrors" dxfId="961" priority="1330">
      <formula>ISERROR(BR217)</formula>
    </cfRule>
  </conditionalFormatting>
  <conditionalFormatting sqref="CC217:CC229">
    <cfRule type="containsErrors" dxfId="960" priority="1329">
      <formula>ISERROR(CC217)</formula>
    </cfRule>
  </conditionalFormatting>
  <conditionalFormatting sqref="CY217:CY229">
    <cfRule type="containsErrors" dxfId="959" priority="1327">
      <formula>ISERROR(CY217)</formula>
    </cfRule>
  </conditionalFormatting>
  <conditionalFormatting sqref="CA240">
    <cfRule type="containsErrors" dxfId="958" priority="1326">
      <formula>ISERROR(CA240)</formula>
    </cfRule>
  </conditionalFormatting>
  <conditionalFormatting sqref="CL240">
    <cfRule type="containsErrors" dxfId="957" priority="1325">
      <formula>ISERROR(CL240)</formula>
    </cfRule>
  </conditionalFormatting>
  <conditionalFormatting sqref="CW240">
    <cfRule type="containsErrors" dxfId="956" priority="1324">
      <formula>ISERROR(CW240)</formula>
    </cfRule>
  </conditionalFormatting>
  <conditionalFormatting sqref="DH240">
    <cfRule type="containsErrors" dxfId="955" priority="1323">
      <formula>ISERROR(DH240)</formula>
    </cfRule>
  </conditionalFormatting>
  <conditionalFormatting sqref="BP263:BQ264 BP262">
    <cfRule type="containsErrors" dxfId="954" priority="1322">
      <formula>ISERROR(BP262)</formula>
    </cfRule>
  </conditionalFormatting>
  <conditionalFormatting sqref="BY257:BZ257">
    <cfRule type="containsErrors" dxfId="953" priority="1321">
      <formula>ISERROR(BY257)</formula>
    </cfRule>
  </conditionalFormatting>
  <conditionalFormatting sqref="CE257 CE258:CF258">
    <cfRule type="containsErrors" dxfId="952" priority="1320">
      <formula>ISERROR(CE257)</formula>
    </cfRule>
  </conditionalFormatting>
  <conditionalFormatting sqref="BU260:CB263 CF260:CM263 CQ260:CX263 DB260:DH263 BP258:BQ261 BP257 BS264:CB264 BS257:CB259 BS260:BS263 CD264:CM264 CD257:CM259 CD260:CD263 CO264:CX264 CO257:CX259 CO260:CO263 CZ264:DH264 CZ257:DH259 CZ260:CZ263">
    <cfRule type="containsErrors" dxfId="951" priority="1319">
      <formula>ISERROR(BP257)</formula>
    </cfRule>
  </conditionalFormatting>
  <conditionalFormatting sqref="BT263">
    <cfRule type="containsErrors" dxfId="950" priority="1318">
      <formula>ISERROR(BT263)</formula>
    </cfRule>
  </conditionalFormatting>
  <conditionalFormatting sqref="BT262">
    <cfRule type="containsErrors" dxfId="949" priority="1317">
      <formula>ISERROR(BT262)</formula>
    </cfRule>
  </conditionalFormatting>
  <conditionalFormatting sqref="BT261:BT262">
    <cfRule type="containsErrors" dxfId="948" priority="1316">
      <formula>ISERROR(BT261)</formula>
    </cfRule>
  </conditionalFormatting>
  <conditionalFormatting sqref="BT260">
    <cfRule type="containsErrors" dxfId="947" priority="1315">
      <formula>ISERROR(BT260)</formula>
    </cfRule>
  </conditionalFormatting>
  <conditionalFormatting sqref="CE263">
    <cfRule type="containsErrors" dxfId="946" priority="1314">
      <formula>ISERROR(CE263)</formula>
    </cfRule>
  </conditionalFormatting>
  <conditionalFormatting sqref="CE262">
    <cfRule type="containsErrors" dxfId="945" priority="1313">
      <formula>ISERROR(CE262)</formula>
    </cfRule>
  </conditionalFormatting>
  <conditionalFormatting sqref="CE261:CE262">
    <cfRule type="containsErrors" dxfId="944" priority="1312">
      <formula>ISERROR(CE261)</formula>
    </cfRule>
  </conditionalFormatting>
  <conditionalFormatting sqref="CE260">
    <cfRule type="containsErrors" dxfId="943" priority="1311">
      <formula>ISERROR(CE260)</formula>
    </cfRule>
  </conditionalFormatting>
  <conditionalFormatting sqref="CP263">
    <cfRule type="containsErrors" dxfId="942" priority="1310">
      <formula>ISERROR(CP263)</formula>
    </cfRule>
  </conditionalFormatting>
  <conditionalFormatting sqref="CP262">
    <cfRule type="containsErrors" dxfId="941" priority="1309">
      <formula>ISERROR(CP262)</formula>
    </cfRule>
  </conditionalFormatting>
  <conditionalFormatting sqref="CP261:CP262">
    <cfRule type="containsErrors" dxfId="940" priority="1308">
      <formula>ISERROR(CP261)</formula>
    </cfRule>
  </conditionalFormatting>
  <conditionalFormatting sqref="CP260">
    <cfRule type="containsErrors" dxfId="939" priority="1307">
      <formula>ISERROR(CP260)</formula>
    </cfRule>
  </conditionalFormatting>
  <conditionalFormatting sqref="DA263">
    <cfRule type="containsErrors" dxfId="938" priority="1306">
      <formula>ISERROR(DA263)</formula>
    </cfRule>
  </conditionalFormatting>
  <conditionalFormatting sqref="DA262">
    <cfRule type="containsErrors" dxfId="937" priority="1305">
      <formula>ISERROR(DA262)</formula>
    </cfRule>
  </conditionalFormatting>
  <conditionalFormatting sqref="DA261:DA262">
    <cfRule type="containsErrors" dxfId="936" priority="1304">
      <formula>ISERROR(DA261)</formula>
    </cfRule>
  </conditionalFormatting>
  <conditionalFormatting sqref="DA260">
    <cfRule type="containsErrors" dxfId="935" priority="1303">
      <formula>ISERROR(DA260)</formula>
    </cfRule>
  </conditionalFormatting>
  <conditionalFormatting sqref="BQ257">
    <cfRule type="containsErrors" dxfId="934" priority="1301">
      <formula>ISERROR(BQ257)</formula>
    </cfRule>
  </conditionalFormatting>
  <conditionalFormatting sqref="BQ257">
    <cfRule type="containsErrors" dxfId="933" priority="1302">
      <formula>ISERROR(BQ257)</formula>
    </cfRule>
  </conditionalFormatting>
  <conditionalFormatting sqref="BR257:BR264">
    <cfRule type="containsErrors" dxfId="932" priority="1300">
      <formula>ISERROR(BR257)</formula>
    </cfRule>
  </conditionalFormatting>
  <conditionalFormatting sqref="CC257:CC264">
    <cfRule type="containsErrors" dxfId="931" priority="1299">
      <formula>ISERROR(CC257)</formula>
    </cfRule>
  </conditionalFormatting>
  <conditionalFormatting sqref="CN257:CN264">
    <cfRule type="containsErrors" dxfId="930" priority="1298">
      <formula>ISERROR(CN257)</formula>
    </cfRule>
  </conditionalFormatting>
  <conditionalFormatting sqref="CY257:CY264">
    <cfRule type="containsErrors" dxfId="929" priority="1297">
      <formula>ISERROR(CY257)</formula>
    </cfRule>
  </conditionalFormatting>
  <conditionalFormatting sqref="DI257:DI264">
    <cfRule type="containsErrors" dxfId="928" priority="1296">
      <formula>ISERROR(DI257)</formula>
    </cfRule>
  </conditionalFormatting>
  <conditionalFormatting sqref="BP242:BQ256 DH243:DH255 CW243:CX255 CL243:CM255 CF243:CI255 BU243:CB255 BS243:BS255 BS242:CB242 BS256:CB256 CD242:CM242 CD256:CM256 CD243:CD255 CO242:CX242 CO256:CX256 CO243:CT255 CZ242:DH242 CZ256:DH256 CZ243:DE255">
    <cfRule type="containsErrors" dxfId="927" priority="1295">
      <formula>ISERROR(BP242)</formula>
    </cfRule>
  </conditionalFormatting>
  <conditionalFormatting sqref="CA241">
    <cfRule type="containsErrors" dxfId="926" priority="1294">
      <formula>ISERROR(CA241)</formula>
    </cfRule>
  </conditionalFormatting>
  <conditionalFormatting sqref="CL241">
    <cfRule type="containsErrors" dxfId="925" priority="1293">
      <formula>ISERROR(CL241)</formula>
    </cfRule>
  </conditionalFormatting>
  <conditionalFormatting sqref="CW241">
    <cfRule type="containsErrors" dxfId="924" priority="1292">
      <formula>ISERROR(CW241)</formula>
    </cfRule>
  </conditionalFormatting>
  <conditionalFormatting sqref="DH241">
    <cfRule type="containsErrors" dxfId="923" priority="1291">
      <formula>ISERROR(DH241)</formula>
    </cfRule>
  </conditionalFormatting>
  <conditionalFormatting sqref="CJ243:CK255">
    <cfRule type="containsErrors" dxfId="922" priority="1290">
      <formula>ISERROR(CJ243)</formula>
    </cfRule>
  </conditionalFormatting>
  <conditionalFormatting sqref="CU243:CV255">
    <cfRule type="containsErrors" dxfId="921" priority="1289">
      <formula>ISERROR(CU243)</formula>
    </cfRule>
  </conditionalFormatting>
  <conditionalFormatting sqref="DF243:DG255">
    <cfRule type="containsErrors" dxfId="920" priority="1288">
      <formula>ISERROR(DF243)</formula>
    </cfRule>
  </conditionalFormatting>
  <conditionalFormatting sqref="CE243:CE255">
    <cfRule type="containsErrors" dxfId="919" priority="1287">
      <formula>ISERROR(CE243)</formula>
    </cfRule>
  </conditionalFormatting>
  <conditionalFormatting sqref="BT243:BT255">
    <cfRule type="containsErrors" dxfId="918" priority="1286">
      <formula>ISERROR(BT243)</formula>
    </cfRule>
  </conditionalFormatting>
  <conditionalFormatting sqref="BR242 BR256">
    <cfRule type="containsErrors" dxfId="917" priority="1285">
      <formula>ISERROR(BR242)</formula>
    </cfRule>
  </conditionalFormatting>
  <conditionalFormatting sqref="CC242 CC256">
    <cfRule type="containsErrors" dxfId="916" priority="1284">
      <formula>ISERROR(CC242)</formula>
    </cfRule>
  </conditionalFormatting>
  <conditionalFormatting sqref="CN242 CN256">
    <cfRule type="containsErrors" dxfId="915" priority="1283">
      <formula>ISERROR(CN242)</formula>
    </cfRule>
  </conditionalFormatting>
  <conditionalFormatting sqref="CY242 CY256">
    <cfRule type="containsErrors" dxfId="914" priority="1282">
      <formula>ISERROR(CY242)</formula>
    </cfRule>
  </conditionalFormatting>
  <conditionalFormatting sqref="CB241">
    <cfRule type="containsErrors" dxfId="913" priority="1281">
      <formula>ISERROR(CB241)</formula>
    </cfRule>
  </conditionalFormatting>
  <conditionalFormatting sqref="CM241">
    <cfRule type="containsErrors" dxfId="912" priority="1280">
      <formula>ISERROR(CM241)</formula>
    </cfRule>
  </conditionalFormatting>
  <conditionalFormatting sqref="CX241">
    <cfRule type="containsErrors" dxfId="911" priority="1279">
      <formula>ISERROR(CX241)</formula>
    </cfRule>
  </conditionalFormatting>
  <conditionalFormatting sqref="DI242:DI256">
    <cfRule type="containsErrors" dxfId="910" priority="1278">
      <formula>ISERROR(DI242)</formula>
    </cfRule>
  </conditionalFormatting>
  <conditionalFormatting sqref="DI241">
    <cfRule type="containsErrors" dxfId="909" priority="1277">
      <formula>ISERROR(DI241)</formula>
    </cfRule>
  </conditionalFormatting>
  <conditionalFormatting sqref="CN243:CN255">
    <cfRule type="containsErrors" dxfId="908" priority="1274">
      <formula>ISERROR(CN243)</formula>
    </cfRule>
  </conditionalFormatting>
  <conditionalFormatting sqref="BR243:BR255">
    <cfRule type="containsErrors" dxfId="907" priority="1276">
      <formula>ISERROR(BR243)</formula>
    </cfRule>
  </conditionalFormatting>
  <conditionalFormatting sqref="CC243:CC255">
    <cfRule type="containsErrors" dxfId="906" priority="1275">
      <formula>ISERROR(CC243)</formula>
    </cfRule>
  </conditionalFormatting>
  <conditionalFormatting sqref="CY243:CY255">
    <cfRule type="containsErrors" dxfId="905" priority="1273">
      <formula>ISERROR(CY243)</formula>
    </cfRule>
  </conditionalFormatting>
  <conditionalFormatting sqref="CA266">
    <cfRule type="containsErrors" dxfId="904" priority="1272">
      <formula>ISERROR(CA266)</formula>
    </cfRule>
  </conditionalFormatting>
  <conditionalFormatting sqref="CL266">
    <cfRule type="containsErrors" dxfId="903" priority="1271">
      <formula>ISERROR(CL266)</formula>
    </cfRule>
  </conditionalFormatting>
  <conditionalFormatting sqref="CW266">
    <cfRule type="containsErrors" dxfId="902" priority="1270">
      <formula>ISERROR(CW266)</formula>
    </cfRule>
  </conditionalFormatting>
  <conditionalFormatting sqref="DH266">
    <cfRule type="containsErrors" dxfId="901" priority="1269">
      <formula>ISERROR(DH266)</formula>
    </cfRule>
  </conditionalFormatting>
  <conditionalFormatting sqref="BP289:BQ290 BP288">
    <cfRule type="containsErrors" dxfId="900" priority="1268">
      <formula>ISERROR(BP288)</formula>
    </cfRule>
  </conditionalFormatting>
  <conditionalFormatting sqref="BY283:BZ283">
    <cfRule type="containsErrors" dxfId="899" priority="1267">
      <formula>ISERROR(BY283)</formula>
    </cfRule>
  </conditionalFormatting>
  <conditionalFormatting sqref="CE283 CE284:CF284">
    <cfRule type="containsErrors" dxfId="898" priority="1266">
      <formula>ISERROR(CE283)</formula>
    </cfRule>
  </conditionalFormatting>
  <conditionalFormatting sqref="BU286:CB289 CF286:CM289 CQ286:CX289 DB286:DH289 BP284:BQ287 BP283 BS290:CB290 BS283:CB285 BS286:BS289 CD290:CM290 CD283:CM285 CD286:CD289 CO290:CX290 CO283:CX285 CO286:CO289 CZ290:DH290 CZ283:DH285 CZ286:CZ289">
    <cfRule type="containsErrors" dxfId="897" priority="1265">
      <formula>ISERROR(BP283)</formula>
    </cfRule>
  </conditionalFormatting>
  <conditionalFormatting sqref="BT289">
    <cfRule type="containsErrors" dxfId="896" priority="1264">
      <formula>ISERROR(BT289)</formula>
    </cfRule>
  </conditionalFormatting>
  <conditionalFormatting sqref="BT288">
    <cfRule type="containsErrors" dxfId="895" priority="1263">
      <formula>ISERROR(BT288)</formula>
    </cfRule>
  </conditionalFormatting>
  <conditionalFormatting sqref="BT287:BT288">
    <cfRule type="containsErrors" dxfId="894" priority="1262">
      <formula>ISERROR(BT287)</formula>
    </cfRule>
  </conditionalFormatting>
  <conditionalFormatting sqref="BT286">
    <cfRule type="containsErrors" dxfId="893" priority="1261">
      <formula>ISERROR(BT286)</formula>
    </cfRule>
  </conditionalFormatting>
  <conditionalFormatting sqref="CE289">
    <cfRule type="containsErrors" dxfId="892" priority="1260">
      <formula>ISERROR(CE289)</formula>
    </cfRule>
  </conditionalFormatting>
  <conditionalFormatting sqref="CE288">
    <cfRule type="containsErrors" dxfId="891" priority="1259">
      <formula>ISERROR(CE288)</formula>
    </cfRule>
  </conditionalFormatting>
  <conditionalFormatting sqref="CE287:CE288">
    <cfRule type="containsErrors" dxfId="890" priority="1258">
      <formula>ISERROR(CE287)</formula>
    </cfRule>
  </conditionalFormatting>
  <conditionalFormatting sqref="CE286">
    <cfRule type="containsErrors" dxfId="889" priority="1257">
      <formula>ISERROR(CE286)</formula>
    </cfRule>
  </conditionalFormatting>
  <conditionalFormatting sqref="CP289">
    <cfRule type="containsErrors" dxfId="888" priority="1256">
      <formula>ISERROR(CP289)</formula>
    </cfRule>
  </conditionalFormatting>
  <conditionalFormatting sqref="CP288">
    <cfRule type="containsErrors" dxfId="887" priority="1255">
      <formula>ISERROR(CP288)</formula>
    </cfRule>
  </conditionalFormatting>
  <conditionalFormatting sqref="CP287:CP288">
    <cfRule type="containsErrors" dxfId="886" priority="1254">
      <formula>ISERROR(CP287)</formula>
    </cfRule>
  </conditionalFormatting>
  <conditionalFormatting sqref="CP286">
    <cfRule type="containsErrors" dxfId="885" priority="1253">
      <formula>ISERROR(CP286)</formula>
    </cfRule>
  </conditionalFormatting>
  <conditionalFormatting sqref="DA289">
    <cfRule type="containsErrors" dxfId="884" priority="1252">
      <formula>ISERROR(DA289)</formula>
    </cfRule>
  </conditionalFormatting>
  <conditionalFormatting sqref="DA288">
    <cfRule type="containsErrors" dxfId="883" priority="1251">
      <formula>ISERROR(DA288)</formula>
    </cfRule>
  </conditionalFormatting>
  <conditionalFormatting sqref="DA287:DA288">
    <cfRule type="containsErrors" dxfId="882" priority="1250">
      <formula>ISERROR(DA287)</formula>
    </cfRule>
  </conditionalFormatting>
  <conditionalFormatting sqref="DA286">
    <cfRule type="containsErrors" dxfId="881" priority="1249">
      <formula>ISERROR(DA286)</formula>
    </cfRule>
  </conditionalFormatting>
  <conditionalFormatting sqref="BQ283">
    <cfRule type="containsErrors" dxfId="880" priority="1247">
      <formula>ISERROR(BQ283)</formula>
    </cfRule>
  </conditionalFormatting>
  <conditionalFormatting sqref="BQ283">
    <cfRule type="containsErrors" dxfId="879" priority="1248">
      <formula>ISERROR(BQ283)</formula>
    </cfRule>
  </conditionalFormatting>
  <conditionalFormatting sqref="BR283:BR290">
    <cfRule type="containsErrors" dxfId="878" priority="1246">
      <formula>ISERROR(BR283)</formula>
    </cfRule>
  </conditionalFormatting>
  <conditionalFormatting sqref="CC283:CC290">
    <cfRule type="containsErrors" dxfId="877" priority="1245">
      <formula>ISERROR(CC283)</formula>
    </cfRule>
  </conditionalFormatting>
  <conditionalFormatting sqref="CN283:CN290">
    <cfRule type="containsErrors" dxfId="876" priority="1244">
      <formula>ISERROR(CN283)</formula>
    </cfRule>
  </conditionalFormatting>
  <conditionalFormatting sqref="CY283:CY290">
    <cfRule type="containsErrors" dxfId="875" priority="1243">
      <formula>ISERROR(CY283)</formula>
    </cfRule>
  </conditionalFormatting>
  <conditionalFormatting sqref="DI283:DI290">
    <cfRule type="containsErrors" dxfId="874" priority="1242">
      <formula>ISERROR(DI283)</formula>
    </cfRule>
  </conditionalFormatting>
  <conditionalFormatting sqref="BP268:BQ282 DH269:DH281 CW269:CX281 CL269:CM281 CF269:CI281 BU269:CB281 BS269:BS281 BS268:CB268 BS282:CB282 CD268:CM268 CD282:CM282 CD269:CD281 CO268:CX268 CO282:CX282 CO269:CT281 CZ268:DH268 CZ282:DH282 CZ269:DE281">
    <cfRule type="containsErrors" dxfId="873" priority="1241">
      <formula>ISERROR(BP268)</formula>
    </cfRule>
  </conditionalFormatting>
  <conditionalFormatting sqref="CA267">
    <cfRule type="containsErrors" dxfId="872" priority="1240">
      <formula>ISERROR(CA267)</formula>
    </cfRule>
  </conditionalFormatting>
  <conditionalFormatting sqref="CL267">
    <cfRule type="containsErrors" dxfId="871" priority="1239">
      <formula>ISERROR(CL267)</formula>
    </cfRule>
  </conditionalFormatting>
  <conditionalFormatting sqref="CW267">
    <cfRule type="containsErrors" dxfId="870" priority="1238">
      <formula>ISERROR(CW267)</formula>
    </cfRule>
  </conditionalFormatting>
  <conditionalFormatting sqref="DH267">
    <cfRule type="containsErrors" dxfId="869" priority="1237">
      <formula>ISERROR(DH267)</formula>
    </cfRule>
  </conditionalFormatting>
  <conditionalFormatting sqref="CJ269:CK281">
    <cfRule type="containsErrors" dxfId="868" priority="1236">
      <formula>ISERROR(CJ269)</formula>
    </cfRule>
  </conditionalFormatting>
  <conditionalFormatting sqref="CU269:CV281">
    <cfRule type="containsErrors" dxfId="867" priority="1235">
      <formula>ISERROR(CU269)</formula>
    </cfRule>
  </conditionalFormatting>
  <conditionalFormatting sqref="DF269:DG281">
    <cfRule type="containsErrors" dxfId="866" priority="1234">
      <formula>ISERROR(DF269)</formula>
    </cfRule>
  </conditionalFormatting>
  <conditionalFormatting sqref="CE269:CE281">
    <cfRule type="containsErrors" dxfId="865" priority="1233">
      <formula>ISERROR(CE269)</formula>
    </cfRule>
  </conditionalFormatting>
  <conditionalFormatting sqref="BT269:BT281">
    <cfRule type="containsErrors" dxfId="864" priority="1232">
      <formula>ISERROR(BT269)</formula>
    </cfRule>
  </conditionalFormatting>
  <conditionalFormatting sqref="BR268 BR282">
    <cfRule type="containsErrors" dxfId="863" priority="1231">
      <formula>ISERROR(BR268)</formula>
    </cfRule>
  </conditionalFormatting>
  <conditionalFormatting sqref="CC268 CC282">
    <cfRule type="containsErrors" dxfId="862" priority="1230">
      <formula>ISERROR(CC268)</formula>
    </cfRule>
  </conditionalFormatting>
  <conditionalFormatting sqref="CN268 CN282">
    <cfRule type="containsErrors" dxfId="861" priority="1229">
      <formula>ISERROR(CN268)</formula>
    </cfRule>
  </conditionalFormatting>
  <conditionalFormatting sqref="CY268 CY282">
    <cfRule type="containsErrors" dxfId="860" priority="1228">
      <formula>ISERROR(CY268)</formula>
    </cfRule>
  </conditionalFormatting>
  <conditionalFormatting sqref="CB267">
    <cfRule type="containsErrors" dxfId="859" priority="1227">
      <formula>ISERROR(CB267)</formula>
    </cfRule>
  </conditionalFormatting>
  <conditionalFormatting sqref="CM267">
    <cfRule type="containsErrors" dxfId="858" priority="1226">
      <formula>ISERROR(CM267)</formula>
    </cfRule>
  </conditionalFormatting>
  <conditionalFormatting sqref="CX267">
    <cfRule type="containsErrors" dxfId="857" priority="1225">
      <formula>ISERROR(CX267)</formula>
    </cfRule>
  </conditionalFormatting>
  <conditionalFormatting sqref="DI268:DI282">
    <cfRule type="containsErrors" dxfId="856" priority="1224">
      <formula>ISERROR(DI268)</formula>
    </cfRule>
  </conditionalFormatting>
  <conditionalFormatting sqref="DI267">
    <cfRule type="containsErrors" dxfId="855" priority="1223">
      <formula>ISERROR(DI267)</formula>
    </cfRule>
  </conditionalFormatting>
  <conditionalFormatting sqref="CN269:CN281">
    <cfRule type="containsErrors" dxfId="854" priority="1220">
      <formula>ISERROR(CN269)</formula>
    </cfRule>
  </conditionalFormatting>
  <conditionalFormatting sqref="BR269:BR281">
    <cfRule type="containsErrors" dxfId="853" priority="1222">
      <formula>ISERROR(BR269)</formula>
    </cfRule>
  </conditionalFormatting>
  <conditionalFormatting sqref="CC269:CC281">
    <cfRule type="containsErrors" dxfId="852" priority="1221">
      <formula>ISERROR(CC269)</formula>
    </cfRule>
  </conditionalFormatting>
  <conditionalFormatting sqref="CY269:CY281">
    <cfRule type="containsErrors" dxfId="851" priority="1219">
      <formula>ISERROR(CY269)</formula>
    </cfRule>
  </conditionalFormatting>
  <conditionalFormatting sqref="CA292">
    <cfRule type="containsErrors" dxfId="850" priority="1218">
      <formula>ISERROR(CA292)</formula>
    </cfRule>
  </conditionalFormatting>
  <conditionalFormatting sqref="CL292">
    <cfRule type="containsErrors" dxfId="849" priority="1217">
      <formula>ISERROR(CL292)</formula>
    </cfRule>
  </conditionalFormatting>
  <conditionalFormatting sqref="CW292">
    <cfRule type="containsErrors" dxfId="848" priority="1216">
      <formula>ISERROR(CW292)</formula>
    </cfRule>
  </conditionalFormatting>
  <conditionalFormatting sqref="DH292">
    <cfRule type="containsErrors" dxfId="847" priority="1215">
      <formula>ISERROR(DH292)</formula>
    </cfRule>
  </conditionalFormatting>
  <conditionalFormatting sqref="BP315:BQ316 BP314">
    <cfRule type="containsErrors" dxfId="846" priority="1214">
      <formula>ISERROR(BP314)</formula>
    </cfRule>
  </conditionalFormatting>
  <conditionalFormatting sqref="BY309:BZ309">
    <cfRule type="containsErrors" dxfId="845" priority="1213">
      <formula>ISERROR(BY309)</formula>
    </cfRule>
  </conditionalFormatting>
  <conditionalFormatting sqref="CE309 CE310:CF310">
    <cfRule type="containsErrors" dxfId="844" priority="1212">
      <formula>ISERROR(CE309)</formula>
    </cfRule>
  </conditionalFormatting>
  <conditionalFormatting sqref="BU312:CB315 CF312:CM315 CQ312:CX315 DB312:DH315 BP310:BQ313 BP309 BS316:CB316 BS309:CB311 BS312:BS315 CD316:CM316 CD309:CM311 CD312:CD315 CO316:CX316 CO309:CX311 CO312:CO315 CZ316:DH316 CZ309:DH311 CZ312:CZ315">
    <cfRule type="containsErrors" dxfId="843" priority="1211">
      <formula>ISERROR(BP309)</formula>
    </cfRule>
  </conditionalFormatting>
  <conditionalFormatting sqref="BT315">
    <cfRule type="containsErrors" dxfId="842" priority="1210">
      <formula>ISERROR(BT315)</formula>
    </cfRule>
  </conditionalFormatting>
  <conditionalFormatting sqref="BT314">
    <cfRule type="containsErrors" dxfId="841" priority="1209">
      <formula>ISERROR(BT314)</formula>
    </cfRule>
  </conditionalFormatting>
  <conditionalFormatting sqref="BT313:BT314">
    <cfRule type="containsErrors" dxfId="840" priority="1208">
      <formula>ISERROR(BT313)</formula>
    </cfRule>
  </conditionalFormatting>
  <conditionalFormatting sqref="BT312">
    <cfRule type="containsErrors" dxfId="839" priority="1207">
      <formula>ISERROR(BT312)</formula>
    </cfRule>
  </conditionalFormatting>
  <conditionalFormatting sqref="CE315">
    <cfRule type="containsErrors" dxfId="838" priority="1206">
      <formula>ISERROR(CE315)</formula>
    </cfRule>
  </conditionalFormatting>
  <conditionalFormatting sqref="CE314">
    <cfRule type="containsErrors" dxfId="837" priority="1205">
      <formula>ISERROR(CE314)</formula>
    </cfRule>
  </conditionalFormatting>
  <conditionalFormatting sqref="CE313:CE314">
    <cfRule type="containsErrors" dxfId="836" priority="1204">
      <formula>ISERROR(CE313)</formula>
    </cfRule>
  </conditionalFormatting>
  <conditionalFormatting sqref="CE312">
    <cfRule type="containsErrors" dxfId="835" priority="1203">
      <formula>ISERROR(CE312)</formula>
    </cfRule>
  </conditionalFormatting>
  <conditionalFormatting sqref="CP315">
    <cfRule type="containsErrors" dxfId="834" priority="1202">
      <formula>ISERROR(CP315)</formula>
    </cfRule>
  </conditionalFormatting>
  <conditionalFormatting sqref="CP314">
    <cfRule type="containsErrors" dxfId="833" priority="1201">
      <formula>ISERROR(CP314)</formula>
    </cfRule>
  </conditionalFormatting>
  <conditionalFormatting sqref="CP313:CP314">
    <cfRule type="containsErrors" dxfId="832" priority="1200">
      <formula>ISERROR(CP313)</formula>
    </cfRule>
  </conditionalFormatting>
  <conditionalFormatting sqref="CP312">
    <cfRule type="containsErrors" dxfId="831" priority="1199">
      <formula>ISERROR(CP312)</formula>
    </cfRule>
  </conditionalFormatting>
  <conditionalFormatting sqref="DA315">
    <cfRule type="containsErrors" dxfId="830" priority="1198">
      <formula>ISERROR(DA315)</formula>
    </cfRule>
  </conditionalFormatting>
  <conditionalFormatting sqref="DA314">
    <cfRule type="containsErrors" dxfId="829" priority="1197">
      <formula>ISERROR(DA314)</formula>
    </cfRule>
  </conditionalFormatting>
  <conditionalFormatting sqref="DA313:DA314">
    <cfRule type="containsErrors" dxfId="828" priority="1196">
      <formula>ISERROR(DA313)</formula>
    </cfRule>
  </conditionalFormatting>
  <conditionalFormatting sqref="DA312">
    <cfRule type="containsErrors" dxfId="827" priority="1195">
      <formula>ISERROR(DA312)</formula>
    </cfRule>
  </conditionalFormatting>
  <conditionalFormatting sqref="BQ309">
    <cfRule type="containsErrors" dxfId="826" priority="1193">
      <formula>ISERROR(BQ309)</formula>
    </cfRule>
  </conditionalFormatting>
  <conditionalFormatting sqref="BQ309">
    <cfRule type="containsErrors" dxfId="825" priority="1194">
      <formula>ISERROR(BQ309)</formula>
    </cfRule>
  </conditionalFormatting>
  <conditionalFormatting sqref="BR309:BR316">
    <cfRule type="containsErrors" dxfId="824" priority="1192">
      <formula>ISERROR(BR309)</formula>
    </cfRule>
  </conditionalFormatting>
  <conditionalFormatting sqref="CC309:CC316">
    <cfRule type="containsErrors" dxfId="823" priority="1191">
      <formula>ISERROR(CC309)</formula>
    </cfRule>
  </conditionalFormatting>
  <conditionalFormatting sqref="CN309:CN316">
    <cfRule type="containsErrors" dxfId="822" priority="1190">
      <formula>ISERROR(CN309)</formula>
    </cfRule>
  </conditionalFormatting>
  <conditionalFormatting sqref="CY309:CY316">
    <cfRule type="containsErrors" dxfId="821" priority="1189">
      <formula>ISERROR(CY309)</formula>
    </cfRule>
  </conditionalFormatting>
  <conditionalFormatting sqref="DI309:DI316">
    <cfRule type="containsErrors" dxfId="820" priority="1188">
      <formula>ISERROR(DI309)</formula>
    </cfRule>
  </conditionalFormatting>
  <conditionalFormatting sqref="BP294:BQ308 DH295:DH307 CW295:CX307 CL295:CM307 CF295:CI307 BU295:CB307 BS295:BS307 BS294:CB294 BS308:CB308 CD294:CM294 CD308:CM308 CD295:CD307 CO294:CX294 CO308:CX308 CO295:CT307 CZ294:DH294 CZ308:DH308 CZ295:DE307">
    <cfRule type="containsErrors" dxfId="819" priority="1187">
      <formula>ISERROR(BP294)</formula>
    </cfRule>
  </conditionalFormatting>
  <conditionalFormatting sqref="CA293">
    <cfRule type="containsErrors" dxfId="818" priority="1186">
      <formula>ISERROR(CA293)</formula>
    </cfRule>
  </conditionalFormatting>
  <conditionalFormatting sqref="CL293">
    <cfRule type="containsErrors" dxfId="817" priority="1185">
      <formula>ISERROR(CL293)</formula>
    </cfRule>
  </conditionalFormatting>
  <conditionalFormatting sqref="CW293">
    <cfRule type="containsErrors" dxfId="816" priority="1184">
      <formula>ISERROR(CW293)</formula>
    </cfRule>
  </conditionalFormatting>
  <conditionalFormatting sqref="DH293">
    <cfRule type="containsErrors" dxfId="815" priority="1183">
      <formula>ISERROR(DH293)</formula>
    </cfRule>
  </conditionalFormatting>
  <conditionalFormatting sqref="CJ295:CK307">
    <cfRule type="containsErrors" dxfId="814" priority="1182">
      <formula>ISERROR(CJ295)</formula>
    </cfRule>
  </conditionalFormatting>
  <conditionalFormatting sqref="CU295:CV307">
    <cfRule type="containsErrors" dxfId="813" priority="1181">
      <formula>ISERROR(CU295)</formula>
    </cfRule>
  </conditionalFormatting>
  <conditionalFormatting sqref="DF295:DG307">
    <cfRule type="containsErrors" dxfId="812" priority="1180">
      <formula>ISERROR(DF295)</formula>
    </cfRule>
  </conditionalFormatting>
  <conditionalFormatting sqref="CE295:CE307">
    <cfRule type="containsErrors" dxfId="811" priority="1179">
      <formula>ISERROR(CE295)</formula>
    </cfRule>
  </conditionalFormatting>
  <conditionalFormatting sqref="BT295:BT307">
    <cfRule type="containsErrors" dxfId="810" priority="1178">
      <formula>ISERROR(BT295)</formula>
    </cfRule>
  </conditionalFormatting>
  <conditionalFormatting sqref="BR294 BR308">
    <cfRule type="containsErrors" dxfId="809" priority="1177">
      <formula>ISERROR(BR294)</formula>
    </cfRule>
  </conditionalFormatting>
  <conditionalFormatting sqref="CC294 CC308">
    <cfRule type="containsErrors" dxfId="808" priority="1176">
      <formula>ISERROR(CC294)</formula>
    </cfRule>
  </conditionalFormatting>
  <conditionalFormatting sqref="CN294 CN308">
    <cfRule type="containsErrors" dxfId="807" priority="1175">
      <formula>ISERROR(CN294)</formula>
    </cfRule>
  </conditionalFormatting>
  <conditionalFormatting sqref="CY294 CY308">
    <cfRule type="containsErrors" dxfId="806" priority="1174">
      <formula>ISERROR(CY294)</formula>
    </cfRule>
  </conditionalFormatting>
  <conditionalFormatting sqref="CB293">
    <cfRule type="containsErrors" dxfId="805" priority="1173">
      <formula>ISERROR(CB293)</formula>
    </cfRule>
  </conditionalFormatting>
  <conditionalFormatting sqref="CM293">
    <cfRule type="containsErrors" dxfId="804" priority="1172">
      <formula>ISERROR(CM293)</formula>
    </cfRule>
  </conditionalFormatting>
  <conditionalFormatting sqref="CX293">
    <cfRule type="containsErrors" dxfId="803" priority="1171">
      <formula>ISERROR(CX293)</formula>
    </cfRule>
  </conditionalFormatting>
  <conditionalFormatting sqref="DI294:DI308">
    <cfRule type="containsErrors" dxfId="802" priority="1170">
      <formula>ISERROR(DI294)</formula>
    </cfRule>
  </conditionalFormatting>
  <conditionalFormatting sqref="DI293">
    <cfRule type="containsErrors" dxfId="801" priority="1169">
      <formula>ISERROR(DI293)</formula>
    </cfRule>
  </conditionalFormatting>
  <conditionalFormatting sqref="CN295:CN307">
    <cfRule type="containsErrors" dxfId="800" priority="1166">
      <formula>ISERROR(CN295)</formula>
    </cfRule>
  </conditionalFormatting>
  <conditionalFormatting sqref="BR295:BR307">
    <cfRule type="containsErrors" dxfId="799" priority="1168">
      <formula>ISERROR(BR295)</formula>
    </cfRule>
  </conditionalFormatting>
  <conditionalFormatting sqref="CC295:CC307">
    <cfRule type="containsErrors" dxfId="798" priority="1167">
      <formula>ISERROR(CC295)</formula>
    </cfRule>
  </conditionalFormatting>
  <conditionalFormatting sqref="CY295:CY307">
    <cfRule type="containsErrors" dxfId="797" priority="1165">
      <formula>ISERROR(CY295)</formula>
    </cfRule>
  </conditionalFormatting>
  <conditionalFormatting sqref="CA318">
    <cfRule type="containsErrors" dxfId="796" priority="1164">
      <formula>ISERROR(CA318)</formula>
    </cfRule>
  </conditionalFormatting>
  <conditionalFormatting sqref="CL318">
    <cfRule type="containsErrors" dxfId="795" priority="1163">
      <formula>ISERROR(CL318)</formula>
    </cfRule>
  </conditionalFormatting>
  <conditionalFormatting sqref="CW318">
    <cfRule type="containsErrors" dxfId="794" priority="1162">
      <formula>ISERROR(CW318)</formula>
    </cfRule>
  </conditionalFormatting>
  <conditionalFormatting sqref="DH318">
    <cfRule type="containsErrors" dxfId="793" priority="1161">
      <formula>ISERROR(DH318)</formula>
    </cfRule>
  </conditionalFormatting>
  <conditionalFormatting sqref="BP341:BQ342 BP340">
    <cfRule type="containsErrors" dxfId="792" priority="1160">
      <formula>ISERROR(BP340)</formula>
    </cfRule>
  </conditionalFormatting>
  <conditionalFormatting sqref="BY335:BZ335">
    <cfRule type="containsErrors" dxfId="791" priority="1159">
      <formula>ISERROR(BY335)</formula>
    </cfRule>
  </conditionalFormatting>
  <conditionalFormatting sqref="CE335 CE336:CF336">
    <cfRule type="containsErrors" dxfId="790" priority="1158">
      <formula>ISERROR(CE335)</formula>
    </cfRule>
  </conditionalFormatting>
  <conditionalFormatting sqref="BU338:CB341 CF338:CM341 CQ338:CX341 DB338:DH341 BP336:BQ339 BP335 BS342:CB342 BS335:CB337 BS338:BS341 CD342:CM342 CD335:CM337 CD338:CD341 CO342:CX342 CO335:CX337 CO338:CO341 CZ342:DH342 CZ335:DH337 CZ338:CZ341">
    <cfRule type="containsErrors" dxfId="789" priority="1157">
      <formula>ISERROR(BP335)</formula>
    </cfRule>
  </conditionalFormatting>
  <conditionalFormatting sqref="BT341">
    <cfRule type="containsErrors" dxfId="788" priority="1156">
      <formula>ISERROR(BT341)</formula>
    </cfRule>
  </conditionalFormatting>
  <conditionalFormatting sqref="BT340">
    <cfRule type="containsErrors" dxfId="787" priority="1155">
      <formula>ISERROR(BT340)</formula>
    </cfRule>
  </conditionalFormatting>
  <conditionalFormatting sqref="BT339:BT340">
    <cfRule type="containsErrors" dxfId="786" priority="1154">
      <formula>ISERROR(BT339)</formula>
    </cfRule>
  </conditionalFormatting>
  <conditionalFormatting sqref="BT338">
    <cfRule type="containsErrors" dxfId="785" priority="1153">
      <formula>ISERROR(BT338)</formula>
    </cfRule>
  </conditionalFormatting>
  <conditionalFormatting sqref="CE341">
    <cfRule type="containsErrors" dxfId="784" priority="1152">
      <formula>ISERROR(CE341)</formula>
    </cfRule>
  </conditionalFormatting>
  <conditionalFormatting sqref="CE340">
    <cfRule type="containsErrors" dxfId="783" priority="1151">
      <formula>ISERROR(CE340)</formula>
    </cfRule>
  </conditionalFormatting>
  <conditionalFormatting sqref="CE339:CE340">
    <cfRule type="containsErrors" dxfId="782" priority="1150">
      <formula>ISERROR(CE339)</formula>
    </cfRule>
  </conditionalFormatting>
  <conditionalFormatting sqref="CE338">
    <cfRule type="containsErrors" dxfId="781" priority="1149">
      <formula>ISERROR(CE338)</formula>
    </cfRule>
  </conditionalFormatting>
  <conditionalFormatting sqref="CP341">
    <cfRule type="containsErrors" dxfId="780" priority="1148">
      <formula>ISERROR(CP341)</formula>
    </cfRule>
  </conditionalFormatting>
  <conditionalFormatting sqref="CP340">
    <cfRule type="containsErrors" dxfId="779" priority="1147">
      <formula>ISERROR(CP340)</formula>
    </cfRule>
  </conditionalFormatting>
  <conditionalFormatting sqref="CP339:CP340">
    <cfRule type="containsErrors" dxfId="778" priority="1146">
      <formula>ISERROR(CP339)</formula>
    </cfRule>
  </conditionalFormatting>
  <conditionalFormatting sqref="CP338">
    <cfRule type="containsErrors" dxfId="777" priority="1145">
      <formula>ISERROR(CP338)</formula>
    </cfRule>
  </conditionalFormatting>
  <conditionalFormatting sqref="DA341">
    <cfRule type="containsErrors" dxfId="776" priority="1144">
      <formula>ISERROR(DA341)</formula>
    </cfRule>
  </conditionalFormatting>
  <conditionalFormatting sqref="DA340">
    <cfRule type="containsErrors" dxfId="775" priority="1143">
      <formula>ISERROR(DA340)</formula>
    </cfRule>
  </conditionalFormatting>
  <conditionalFormatting sqref="DA339:DA340">
    <cfRule type="containsErrors" dxfId="774" priority="1142">
      <formula>ISERROR(DA339)</formula>
    </cfRule>
  </conditionalFormatting>
  <conditionalFormatting sqref="DA338">
    <cfRule type="containsErrors" dxfId="773" priority="1141">
      <formula>ISERROR(DA338)</formula>
    </cfRule>
  </conditionalFormatting>
  <conditionalFormatting sqref="BQ335">
    <cfRule type="containsErrors" dxfId="772" priority="1139">
      <formula>ISERROR(BQ335)</formula>
    </cfRule>
  </conditionalFormatting>
  <conditionalFormatting sqref="BQ335">
    <cfRule type="containsErrors" dxfId="771" priority="1140">
      <formula>ISERROR(BQ335)</formula>
    </cfRule>
  </conditionalFormatting>
  <conditionalFormatting sqref="BR335:BR342">
    <cfRule type="containsErrors" dxfId="770" priority="1138">
      <formula>ISERROR(BR335)</formula>
    </cfRule>
  </conditionalFormatting>
  <conditionalFormatting sqref="CC335:CC342">
    <cfRule type="containsErrors" dxfId="769" priority="1137">
      <formula>ISERROR(CC335)</formula>
    </cfRule>
  </conditionalFormatting>
  <conditionalFormatting sqref="CN335:CN342">
    <cfRule type="containsErrors" dxfId="768" priority="1136">
      <formula>ISERROR(CN335)</formula>
    </cfRule>
  </conditionalFormatting>
  <conditionalFormatting sqref="CY335:CY342">
    <cfRule type="containsErrors" dxfId="767" priority="1135">
      <formula>ISERROR(CY335)</formula>
    </cfRule>
  </conditionalFormatting>
  <conditionalFormatting sqref="DI335:DI342">
    <cfRule type="containsErrors" dxfId="766" priority="1134">
      <formula>ISERROR(DI335)</formula>
    </cfRule>
  </conditionalFormatting>
  <conditionalFormatting sqref="BP320:BQ334 DH321:DH333 CW321:CX333 CL321:CM333 CF321:CI333 BU321:CB333 BS321:BS333 BS320:CB320 BS334:CB334 CD320:CM320 CD334:CM334 CD321:CD333 CO320:CX320 CO334:CX334 CO321:CT333 CZ320:DH320 CZ334:DH334 CZ321:DE333">
    <cfRule type="containsErrors" dxfId="765" priority="1133">
      <formula>ISERROR(BP320)</formula>
    </cfRule>
  </conditionalFormatting>
  <conditionalFormatting sqref="CA319">
    <cfRule type="containsErrors" dxfId="764" priority="1132">
      <formula>ISERROR(CA319)</formula>
    </cfRule>
  </conditionalFormatting>
  <conditionalFormatting sqref="CL319">
    <cfRule type="containsErrors" dxfId="763" priority="1131">
      <formula>ISERROR(CL319)</formula>
    </cfRule>
  </conditionalFormatting>
  <conditionalFormatting sqref="CW319">
    <cfRule type="containsErrors" dxfId="762" priority="1130">
      <formula>ISERROR(CW319)</formula>
    </cfRule>
  </conditionalFormatting>
  <conditionalFormatting sqref="DH319">
    <cfRule type="containsErrors" dxfId="761" priority="1129">
      <formula>ISERROR(DH319)</formula>
    </cfRule>
  </conditionalFormatting>
  <conditionalFormatting sqref="CJ321:CK333">
    <cfRule type="containsErrors" dxfId="760" priority="1128">
      <formula>ISERROR(CJ321)</formula>
    </cfRule>
  </conditionalFormatting>
  <conditionalFormatting sqref="CU321:CV333">
    <cfRule type="containsErrors" dxfId="759" priority="1127">
      <formula>ISERROR(CU321)</formula>
    </cfRule>
  </conditionalFormatting>
  <conditionalFormatting sqref="DF321:DG333">
    <cfRule type="containsErrors" dxfId="758" priority="1126">
      <formula>ISERROR(DF321)</formula>
    </cfRule>
  </conditionalFormatting>
  <conditionalFormatting sqref="CE321:CE333">
    <cfRule type="containsErrors" dxfId="757" priority="1125">
      <formula>ISERROR(CE321)</formula>
    </cfRule>
  </conditionalFormatting>
  <conditionalFormatting sqref="BT321:BT333">
    <cfRule type="containsErrors" dxfId="756" priority="1124">
      <formula>ISERROR(BT321)</formula>
    </cfRule>
  </conditionalFormatting>
  <conditionalFormatting sqref="BR320 BR334">
    <cfRule type="containsErrors" dxfId="755" priority="1123">
      <formula>ISERROR(BR320)</formula>
    </cfRule>
  </conditionalFormatting>
  <conditionalFormatting sqref="CC320 CC334">
    <cfRule type="containsErrors" dxfId="754" priority="1122">
      <formula>ISERROR(CC320)</formula>
    </cfRule>
  </conditionalFormatting>
  <conditionalFormatting sqref="CN320 CN334">
    <cfRule type="containsErrors" dxfId="753" priority="1121">
      <formula>ISERROR(CN320)</formula>
    </cfRule>
  </conditionalFormatting>
  <conditionalFormatting sqref="CY320 CY334">
    <cfRule type="containsErrors" dxfId="752" priority="1120">
      <formula>ISERROR(CY320)</formula>
    </cfRule>
  </conditionalFormatting>
  <conditionalFormatting sqref="CB319">
    <cfRule type="containsErrors" dxfId="751" priority="1119">
      <formula>ISERROR(CB319)</formula>
    </cfRule>
  </conditionalFormatting>
  <conditionalFormatting sqref="CM319">
    <cfRule type="containsErrors" dxfId="750" priority="1118">
      <formula>ISERROR(CM319)</formula>
    </cfRule>
  </conditionalFormatting>
  <conditionalFormatting sqref="CX319">
    <cfRule type="containsErrors" dxfId="749" priority="1117">
      <formula>ISERROR(CX319)</formula>
    </cfRule>
  </conditionalFormatting>
  <conditionalFormatting sqref="DI320:DI334">
    <cfRule type="containsErrors" dxfId="748" priority="1116">
      <formula>ISERROR(DI320)</formula>
    </cfRule>
  </conditionalFormatting>
  <conditionalFormatting sqref="DI319">
    <cfRule type="containsErrors" dxfId="747" priority="1115">
      <formula>ISERROR(DI319)</formula>
    </cfRule>
  </conditionalFormatting>
  <conditionalFormatting sqref="CN321:CN333">
    <cfRule type="containsErrors" dxfId="746" priority="1112">
      <formula>ISERROR(CN321)</formula>
    </cfRule>
  </conditionalFormatting>
  <conditionalFormatting sqref="BR321:BR333">
    <cfRule type="containsErrors" dxfId="745" priority="1114">
      <formula>ISERROR(BR321)</formula>
    </cfRule>
  </conditionalFormatting>
  <conditionalFormatting sqref="CC321:CC333">
    <cfRule type="containsErrors" dxfId="744" priority="1113">
      <formula>ISERROR(CC321)</formula>
    </cfRule>
  </conditionalFormatting>
  <conditionalFormatting sqref="CY321:CY333">
    <cfRule type="containsErrors" dxfId="743" priority="1111">
      <formula>ISERROR(CY321)</formula>
    </cfRule>
  </conditionalFormatting>
  <conditionalFormatting sqref="CA344">
    <cfRule type="containsErrors" dxfId="742" priority="1110">
      <formula>ISERROR(CA344)</formula>
    </cfRule>
  </conditionalFormatting>
  <conditionalFormatting sqref="CL344">
    <cfRule type="containsErrors" dxfId="741" priority="1109">
      <formula>ISERROR(CL344)</formula>
    </cfRule>
  </conditionalFormatting>
  <conditionalFormatting sqref="CW344">
    <cfRule type="containsErrors" dxfId="740" priority="1108">
      <formula>ISERROR(CW344)</formula>
    </cfRule>
  </conditionalFormatting>
  <conditionalFormatting sqref="DH344">
    <cfRule type="containsErrors" dxfId="739" priority="1107">
      <formula>ISERROR(DH344)</formula>
    </cfRule>
  </conditionalFormatting>
  <conditionalFormatting sqref="BP367:BQ368 BP366">
    <cfRule type="containsErrors" dxfId="738" priority="1106">
      <formula>ISERROR(BP366)</formula>
    </cfRule>
  </conditionalFormatting>
  <conditionalFormatting sqref="BY361:BZ361">
    <cfRule type="containsErrors" dxfId="737" priority="1105">
      <formula>ISERROR(BY361)</formula>
    </cfRule>
  </conditionalFormatting>
  <conditionalFormatting sqref="CE361 CE362:CF362">
    <cfRule type="containsErrors" dxfId="736" priority="1104">
      <formula>ISERROR(CE361)</formula>
    </cfRule>
  </conditionalFormatting>
  <conditionalFormatting sqref="BU364:CB367 CF364:CM367 CQ364:CX367 DB364:DH367 BP362:BQ365 BP361 BS368:CB368 BS361:CB363 BS364:BS367 CD368:CM368 CD361:CM363 CD364:CD367 CO368:CX368 CO361:CX363 CO364:CO367 CZ368:DH368 CZ361:DH363 CZ364:CZ367">
    <cfRule type="containsErrors" dxfId="735" priority="1103">
      <formula>ISERROR(BP361)</formula>
    </cfRule>
  </conditionalFormatting>
  <conditionalFormatting sqref="BT367">
    <cfRule type="containsErrors" dxfId="734" priority="1102">
      <formula>ISERROR(BT367)</formula>
    </cfRule>
  </conditionalFormatting>
  <conditionalFormatting sqref="BT366">
    <cfRule type="containsErrors" dxfId="733" priority="1101">
      <formula>ISERROR(BT366)</formula>
    </cfRule>
  </conditionalFormatting>
  <conditionalFormatting sqref="BT365:BT366">
    <cfRule type="containsErrors" dxfId="732" priority="1100">
      <formula>ISERROR(BT365)</formula>
    </cfRule>
  </conditionalFormatting>
  <conditionalFormatting sqref="BT364">
    <cfRule type="containsErrors" dxfId="731" priority="1099">
      <formula>ISERROR(BT364)</formula>
    </cfRule>
  </conditionalFormatting>
  <conditionalFormatting sqref="CE367">
    <cfRule type="containsErrors" dxfId="730" priority="1098">
      <formula>ISERROR(CE367)</formula>
    </cfRule>
  </conditionalFormatting>
  <conditionalFormatting sqref="CE366">
    <cfRule type="containsErrors" dxfId="729" priority="1097">
      <formula>ISERROR(CE366)</formula>
    </cfRule>
  </conditionalFormatting>
  <conditionalFormatting sqref="CE365:CE366">
    <cfRule type="containsErrors" dxfId="728" priority="1096">
      <formula>ISERROR(CE365)</formula>
    </cfRule>
  </conditionalFormatting>
  <conditionalFormatting sqref="CE364">
    <cfRule type="containsErrors" dxfId="727" priority="1095">
      <formula>ISERROR(CE364)</formula>
    </cfRule>
  </conditionalFormatting>
  <conditionalFormatting sqref="CP367">
    <cfRule type="containsErrors" dxfId="726" priority="1094">
      <formula>ISERROR(CP367)</formula>
    </cfRule>
  </conditionalFormatting>
  <conditionalFormatting sqref="CP366">
    <cfRule type="containsErrors" dxfId="725" priority="1093">
      <formula>ISERROR(CP366)</formula>
    </cfRule>
  </conditionalFormatting>
  <conditionalFormatting sqref="CP365:CP366">
    <cfRule type="containsErrors" dxfId="724" priority="1092">
      <formula>ISERROR(CP365)</formula>
    </cfRule>
  </conditionalFormatting>
  <conditionalFormatting sqref="CP364">
    <cfRule type="containsErrors" dxfId="723" priority="1091">
      <formula>ISERROR(CP364)</formula>
    </cfRule>
  </conditionalFormatting>
  <conditionalFormatting sqref="DA367">
    <cfRule type="containsErrors" dxfId="722" priority="1090">
      <formula>ISERROR(DA367)</formula>
    </cfRule>
  </conditionalFormatting>
  <conditionalFormatting sqref="DA366">
    <cfRule type="containsErrors" dxfId="721" priority="1089">
      <formula>ISERROR(DA366)</formula>
    </cfRule>
  </conditionalFormatting>
  <conditionalFormatting sqref="DA365:DA366">
    <cfRule type="containsErrors" dxfId="720" priority="1088">
      <formula>ISERROR(DA365)</formula>
    </cfRule>
  </conditionalFormatting>
  <conditionalFormatting sqref="DA364">
    <cfRule type="containsErrors" dxfId="719" priority="1087">
      <formula>ISERROR(DA364)</formula>
    </cfRule>
  </conditionalFormatting>
  <conditionalFormatting sqref="BQ361">
    <cfRule type="containsErrors" dxfId="718" priority="1085">
      <formula>ISERROR(BQ361)</formula>
    </cfRule>
  </conditionalFormatting>
  <conditionalFormatting sqref="BQ361">
    <cfRule type="containsErrors" dxfId="717" priority="1086">
      <formula>ISERROR(BQ361)</formula>
    </cfRule>
  </conditionalFormatting>
  <conditionalFormatting sqref="BR361:BR368">
    <cfRule type="containsErrors" dxfId="716" priority="1084">
      <formula>ISERROR(BR361)</formula>
    </cfRule>
  </conditionalFormatting>
  <conditionalFormatting sqref="CC361:CC368">
    <cfRule type="containsErrors" dxfId="715" priority="1083">
      <formula>ISERROR(CC361)</formula>
    </cfRule>
  </conditionalFormatting>
  <conditionalFormatting sqref="CN361:CN368">
    <cfRule type="containsErrors" dxfId="714" priority="1082">
      <formula>ISERROR(CN361)</formula>
    </cfRule>
  </conditionalFormatting>
  <conditionalFormatting sqref="CY361:CY368">
    <cfRule type="containsErrors" dxfId="713" priority="1081">
      <formula>ISERROR(CY361)</formula>
    </cfRule>
  </conditionalFormatting>
  <conditionalFormatting sqref="DI361:DI368">
    <cfRule type="containsErrors" dxfId="712" priority="1080">
      <formula>ISERROR(DI361)</formula>
    </cfRule>
  </conditionalFormatting>
  <conditionalFormatting sqref="BP346:BQ360 DH347:DH359 CW347:CX359 CL347:CM359 CF347:CI359 BU347:CB359 BS347:BS359 BS346:CB346 BS360:CB360 CD346:CM346 CD360:CM360 CD347:CD359 CO346:CX346 CO360:CX360 CO347:CT359 CZ346:DH346 CZ360:DH360 CZ347:DE359">
    <cfRule type="containsErrors" dxfId="711" priority="1079">
      <formula>ISERROR(BP346)</formula>
    </cfRule>
  </conditionalFormatting>
  <conditionalFormatting sqref="CA345">
    <cfRule type="containsErrors" dxfId="710" priority="1078">
      <formula>ISERROR(CA345)</formula>
    </cfRule>
  </conditionalFormatting>
  <conditionalFormatting sqref="CL345">
    <cfRule type="containsErrors" dxfId="709" priority="1077">
      <formula>ISERROR(CL345)</formula>
    </cfRule>
  </conditionalFormatting>
  <conditionalFormatting sqref="CW345">
    <cfRule type="containsErrors" dxfId="708" priority="1076">
      <formula>ISERROR(CW345)</formula>
    </cfRule>
  </conditionalFormatting>
  <conditionalFormatting sqref="DH345">
    <cfRule type="containsErrors" dxfId="707" priority="1075">
      <formula>ISERROR(DH345)</formula>
    </cfRule>
  </conditionalFormatting>
  <conditionalFormatting sqref="CJ347:CK359">
    <cfRule type="containsErrors" dxfId="706" priority="1074">
      <formula>ISERROR(CJ347)</formula>
    </cfRule>
  </conditionalFormatting>
  <conditionalFormatting sqref="CU347:CV359">
    <cfRule type="containsErrors" dxfId="705" priority="1073">
      <formula>ISERROR(CU347)</formula>
    </cfRule>
  </conditionalFormatting>
  <conditionalFormatting sqref="DF347:DG359">
    <cfRule type="containsErrors" dxfId="704" priority="1072">
      <formula>ISERROR(DF347)</formula>
    </cfRule>
  </conditionalFormatting>
  <conditionalFormatting sqref="CE347:CE359">
    <cfRule type="containsErrors" dxfId="703" priority="1071">
      <formula>ISERROR(CE347)</formula>
    </cfRule>
  </conditionalFormatting>
  <conditionalFormatting sqref="BT347:BT359">
    <cfRule type="containsErrors" dxfId="702" priority="1070">
      <formula>ISERROR(BT347)</formula>
    </cfRule>
  </conditionalFormatting>
  <conditionalFormatting sqref="BR346 BR360">
    <cfRule type="containsErrors" dxfId="701" priority="1069">
      <formula>ISERROR(BR346)</formula>
    </cfRule>
  </conditionalFormatting>
  <conditionalFormatting sqref="CC346 CC360">
    <cfRule type="containsErrors" dxfId="700" priority="1068">
      <formula>ISERROR(CC346)</formula>
    </cfRule>
  </conditionalFormatting>
  <conditionalFormatting sqref="CN346 CN360">
    <cfRule type="containsErrors" dxfId="699" priority="1067">
      <formula>ISERROR(CN346)</formula>
    </cfRule>
  </conditionalFormatting>
  <conditionalFormatting sqref="CY346 CY360">
    <cfRule type="containsErrors" dxfId="698" priority="1066">
      <formula>ISERROR(CY346)</formula>
    </cfRule>
  </conditionalFormatting>
  <conditionalFormatting sqref="CB345">
    <cfRule type="containsErrors" dxfId="697" priority="1065">
      <formula>ISERROR(CB345)</formula>
    </cfRule>
  </conditionalFormatting>
  <conditionalFormatting sqref="CM345">
    <cfRule type="containsErrors" dxfId="696" priority="1064">
      <formula>ISERROR(CM345)</formula>
    </cfRule>
  </conditionalFormatting>
  <conditionalFormatting sqref="CX345">
    <cfRule type="containsErrors" dxfId="695" priority="1063">
      <formula>ISERROR(CX345)</formula>
    </cfRule>
  </conditionalFormatting>
  <conditionalFormatting sqref="DI346:DI360">
    <cfRule type="containsErrors" dxfId="694" priority="1062">
      <formula>ISERROR(DI346)</formula>
    </cfRule>
  </conditionalFormatting>
  <conditionalFormatting sqref="DI345">
    <cfRule type="containsErrors" dxfId="693" priority="1061">
      <formula>ISERROR(DI345)</formula>
    </cfRule>
  </conditionalFormatting>
  <conditionalFormatting sqref="CN347:CN359">
    <cfRule type="containsErrors" dxfId="692" priority="1058">
      <formula>ISERROR(CN347)</formula>
    </cfRule>
  </conditionalFormatting>
  <conditionalFormatting sqref="BR347:BR359">
    <cfRule type="containsErrors" dxfId="691" priority="1060">
      <formula>ISERROR(BR347)</formula>
    </cfRule>
  </conditionalFormatting>
  <conditionalFormatting sqref="CC347:CC359">
    <cfRule type="containsErrors" dxfId="690" priority="1059">
      <formula>ISERROR(CC347)</formula>
    </cfRule>
  </conditionalFormatting>
  <conditionalFormatting sqref="CY347:CY359">
    <cfRule type="containsErrors" dxfId="689" priority="1057">
      <formula>ISERROR(CY347)</formula>
    </cfRule>
  </conditionalFormatting>
  <conditionalFormatting sqref="CA370">
    <cfRule type="containsErrors" dxfId="688" priority="1056">
      <formula>ISERROR(CA370)</formula>
    </cfRule>
  </conditionalFormatting>
  <conditionalFormatting sqref="CL370">
    <cfRule type="containsErrors" dxfId="687" priority="1055">
      <formula>ISERROR(CL370)</formula>
    </cfRule>
  </conditionalFormatting>
  <conditionalFormatting sqref="CW370">
    <cfRule type="containsErrors" dxfId="686" priority="1054">
      <formula>ISERROR(CW370)</formula>
    </cfRule>
  </conditionalFormatting>
  <conditionalFormatting sqref="DH370">
    <cfRule type="containsErrors" dxfId="685" priority="1053">
      <formula>ISERROR(DH370)</formula>
    </cfRule>
  </conditionalFormatting>
  <conditionalFormatting sqref="BP393:BQ394 BP392">
    <cfRule type="containsErrors" dxfId="684" priority="1052">
      <formula>ISERROR(BP392)</formula>
    </cfRule>
  </conditionalFormatting>
  <conditionalFormatting sqref="BY387:BZ387">
    <cfRule type="containsErrors" dxfId="683" priority="1051">
      <formula>ISERROR(BY387)</formula>
    </cfRule>
  </conditionalFormatting>
  <conditionalFormatting sqref="CE387 CE388:CF388">
    <cfRule type="containsErrors" dxfId="682" priority="1050">
      <formula>ISERROR(CE387)</formula>
    </cfRule>
  </conditionalFormatting>
  <conditionalFormatting sqref="BU390:CB393 CF390:CM393 CQ390:CX393 DB390:DH393 BP388:BQ391 BP387 BS394:CB394 BS387:CB389 BS390:BS393 CD394:CM394 CD387:CM389 CD390:CD393 CO394:CX394 CO387:CX389 CO390:CO393 CZ394:DH394 CZ387:DH389 CZ390:CZ393">
    <cfRule type="containsErrors" dxfId="681" priority="1049">
      <formula>ISERROR(BP387)</formula>
    </cfRule>
  </conditionalFormatting>
  <conditionalFormatting sqref="BT393">
    <cfRule type="containsErrors" dxfId="680" priority="1048">
      <formula>ISERROR(BT393)</formula>
    </cfRule>
  </conditionalFormatting>
  <conditionalFormatting sqref="BT392">
    <cfRule type="containsErrors" dxfId="679" priority="1047">
      <formula>ISERROR(BT392)</formula>
    </cfRule>
  </conditionalFormatting>
  <conditionalFormatting sqref="BT391:BT392">
    <cfRule type="containsErrors" dxfId="678" priority="1046">
      <formula>ISERROR(BT391)</formula>
    </cfRule>
  </conditionalFormatting>
  <conditionalFormatting sqref="BT390">
    <cfRule type="containsErrors" dxfId="677" priority="1045">
      <formula>ISERROR(BT390)</formula>
    </cfRule>
  </conditionalFormatting>
  <conditionalFormatting sqref="CE393">
    <cfRule type="containsErrors" dxfId="676" priority="1044">
      <formula>ISERROR(CE393)</formula>
    </cfRule>
  </conditionalFormatting>
  <conditionalFormatting sqref="CE392">
    <cfRule type="containsErrors" dxfId="675" priority="1043">
      <formula>ISERROR(CE392)</formula>
    </cfRule>
  </conditionalFormatting>
  <conditionalFormatting sqref="CE391:CE392">
    <cfRule type="containsErrors" dxfId="674" priority="1042">
      <formula>ISERROR(CE391)</formula>
    </cfRule>
  </conditionalFormatting>
  <conditionalFormatting sqref="CE390">
    <cfRule type="containsErrors" dxfId="673" priority="1041">
      <formula>ISERROR(CE390)</formula>
    </cfRule>
  </conditionalFormatting>
  <conditionalFormatting sqref="CP393">
    <cfRule type="containsErrors" dxfId="672" priority="1040">
      <formula>ISERROR(CP393)</formula>
    </cfRule>
  </conditionalFormatting>
  <conditionalFormatting sqref="CP392">
    <cfRule type="containsErrors" dxfId="671" priority="1039">
      <formula>ISERROR(CP392)</formula>
    </cfRule>
  </conditionalFormatting>
  <conditionalFormatting sqref="CP391:CP392">
    <cfRule type="containsErrors" dxfId="670" priority="1038">
      <formula>ISERROR(CP391)</formula>
    </cfRule>
  </conditionalFormatting>
  <conditionalFormatting sqref="CP390">
    <cfRule type="containsErrors" dxfId="669" priority="1037">
      <formula>ISERROR(CP390)</formula>
    </cfRule>
  </conditionalFormatting>
  <conditionalFormatting sqref="DA393">
    <cfRule type="containsErrors" dxfId="668" priority="1036">
      <formula>ISERROR(DA393)</formula>
    </cfRule>
  </conditionalFormatting>
  <conditionalFormatting sqref="DA392">
    <cfRule type="containsErrors" dxfId="667" priority="1035">
      <formula>ISERROR(DA392)</formula>
    </cfRule>
  </conditionalFormatting>
  <conditionalFormatting sqref="DA391:DA392">
    <cfRule type="containsErrors" dxfId="666" priority="1034">
      <formula>ISERROR(DA391)</formula>
    </cfRule>
  </conditionalFormatting>
  <conditionalFormatting sqref="DA390">
    <cfRule type="containsErrors" dxfId="665" priority="1033">
      <formula>ISERROR(DA390)</formula>
    </cfRule>
  </conditionalFormatting>
  <conditionalFormatting sqref="BQ387">
    <cfRule type="containsErrors" dxfId="664" priority="1031">
      <formula>ISERROR(BQ387)</formula>
    </cfRule>
  </conditionalFormatting>
  <conditionalFormatting sqref="BQ387">
    <cfRule type="containsErrors" dxfId="663" priority="1032">
      <formula>ISERROR(BQ387)</formula>
    </cfRule>
  </conditionalFormatting>
  <conditionalFormatting sqref="BR387:BR394">
    <cfRule type="containsErrors" dxfId="662" priority="1030">
      <formula>ISERROR(BR387)</formula>
    </cfRule>
  </conditionalFormatting>
  <conditionalFormatting sqref="CC387:CC394">
    <cfRule type="containsErrors" dxfId="661" priority="1029">
      <formula>ISERROR(CC387)</formula>
    </cfRule>
  </conditionalFormatting>
  <conditionalFormatting sqref="CN387:CN394">
    <cfRule type="containsErrors" dxfId="660" priority="1028">
      <formula>ISERROR(CN387)</formula>
    </cfRule>
  </conditionalFormatting>
  <conditionalFormatting sqref="CY387:CY394">
    <cfRule type="containsErrors" dxfId="659" priority="1027">
      <formula>ISERROR(CY387)</formula>
    </cfRule>
  </conditionalFormatting>
  <conditionalFormatting sqref="DI387:DI394">
    <cfRule type="containsErrors" dxfId="658" priority="1026">
      <formula>ISERROR(DI387)</formula>
    </cfRule>
  </conditionalFormatting>
  <conditionalFormatting sqref="BP372:BQ386 DH373:DH385 CW373:CX385 CL373:CM385 CF373:CI385 BU373:CB385 BS373:BS385 BS372:CB372 BS386:CB386 CD372:CM372 CD386:CM386 CD373:CD385 CO372:CX372 CO386:CX386 CO373:CT385 CZ372:DH372 CZ386:DH386 CZ373:DE385">
    <cfRule type="containsErrors" dxfId="657" priority="1025">
      <formula>ISERROR(BP372)</formula>
    </cfRule>
  </conditionalFormatting>
  <conditionalFormatting sqref="CA371">
    <cfRule type="containsErrors" dxfId="656" priority="1024">
      <formula>ISERROR(CA371)</formula>
    </cfRule>
  </conditionalFormatting>
  <conditionalFormatting sqref="CL371">
    <cfRule type="containsErrors" dxfId="655" priority="1023">
      <formula>ISERROR(CL371)</formula>
    </cfRule>
  </conditionalFormatting>
  <conditionalFormatting sqref="CW371">
    <cfRule type="containsErrors" dxfId="654" priority="1022">
      <formula>ISERROR(CW371)</formula>
    </cfRule>
  </conditionalFormatting>
  <conditionalFormatting sqref="DH371">
    <cfRule type="containsErrors" dxfId="653" priority="1021">
      <formula>ISERROR(DH371)</formula>
    </cfRule>
  </conditionalFormatting>
  <conditionalFormatting sqref="CJ373:CK385">
    <cfRule type="containsErrors" dxfId="652" priority="1020">
      <formula>ISERROR(CJ373)</formula>
    </cfRule>
  </conditionalFormatting>
  <conditionalFormatting sqref="CU373:CV385">
    <cfRule type="containsErrors" dxfId="651" priority="1019">
      <formula>ISERROR(CU373)</formula>
    </cfRule>
  </conditionalFormatting>
  <conditionalFormatting sqref="DF373:DG385">
    <cfRule type="containsErrors" dxfId="650" priority="1018">
      <formula>ISERROR(DF373)</formula>
    </cfRule>
  </conditionalFormatting>
  <conditionalFormatting sqref="CE373:CE385">
    <cfRule type="containsErrors" dxfId="649" priority="1017">
      <formula>ISERROR(CE373)</formula>
    </cfRule>
  </conditionalFormatting>
  <conditionalFormatting sqref="BT373:BT385">
    <cfRule type="containsErrors" dxfId="648" priority="1016">
      <formula>ISERROR(BT373)</formula>
    </cfRule>
  </conditionalFormatting>
  <conditionalFormatting sqref="BR372 BR386">
    <cfRule type="containsErrors" dxfId="647" priority="1015">
      <formula>ISERROR(BR372)</formula>
    </cfRule>
  </conditionalFormatting>
  <conditionalFormatting sqref="CC372 CC386">
    <cfRule type="containsErrors" dxfId="646" priority="1014">
      <formula>ISERROR(CC372)</formula>
    </cfRule>
  </conditionalFormatting>
  <conditionalFormatting sqref="CN372 CN386">
    <cfRule type="containsErrors" dxfId="645" priority="1013">
      <formula>ISERROR(CN372)</formula>
    </cfRule>
  </conditionalFormatting>
  <conditionalFormatting sqref="CY372 CY386">
    <cfRule type="containsErrors" dxfId="644" priority="1012">
      <formula>ISERROR(CY372)</formula>
    </cfRule>
  </conditionalFormatting>
  <conditionalFormatting sqref="CB371">
    <cfRule type="containsErrors" dxfId="643" priority="1011">
      <formula>ISERROR(CB371)</formula>
    </cfRule>
  </conditionalFormatting>
  <conditionalFormatting sqref="CM371">
    <cfRule type="containsErrors" dxfId="642" priority="1010">
      <formula>ISERROR(CM371)</formula>
    </cfRule>
  </conditionalFormatting>
  <conditionalFormatting sqref="CX371">
    <cfRule type="containsErrors" dxfId="641" priority="1009">
      <formula>ISERROR(CX371)</formula>
    </cfRule>
  </conditionalFormatting>
  <conditionalFormatting sqref="DI372:DI386">
    <cfRule type="containsErrors" dxfId="640" priority="1008">
      <formula>ISERROR(DI372)</formula>
    </cfRule>
  </conditionalFormatting>
  <conditionalFormatting sqref="DI371">
    <cfRule type="containsErrors" dxfId="639" priority="1007">
      <formula>ISERROR(DI371)</formula>
    </cfRule>
  </conditionalFormatting>
  <conditionalFormatting sqref="CN373:CN385">
    <cfRule type="containsErrors" dxfId="638" priority="1004">
      <formula>ISERROR(CN373)</formula>
    </cfRule>
  </conditionalFormatting>
  <conditionalFormatting sqref="BR373:BR385">
    <cfRule type="containsErrors" dxfId="637" priority="1006">
      <formula>ISERROR(BR373)</formula>
    </cfRule>
  </conditionalFormatting>
  <conditionalFormatting sqref="CC373:CC385">
    <cfRule type="containsErrors" dxfId="636" priority="1005">
      <formula>ISERROR(CC373)</formula>
    </cfRule>
  </conditionalFormatting>
  <conditionalFormatting sqref="CY373:CY385">
    <cfRule type="containsErrors" dxfId="635" priority="1003">
      <formula>ISERROR(CY373)</formula>
    </cfRule>
  </conditionalFormatting>
  <conditionalFormatting sqref="B60:C60">
    <cfRule type="containsErrors" dxfId="634" priority="1002">
      <formula>ISERROR(B60)</formula>
    </cfRule>
  </conditionalFormatting>
  <conditionalFormatting sqref="C61:C72">
    <cfRule type="containsErrors" dxfId="633" priority="1001">
      <formula>ISERROR(C61)</formula>
    </cfRule>
  </conditionalFormatting>
  <conditionalFormatting sqref="D60:G60 I60 D61:F72">
    <cfRule type="containsErrors" dxfId="632" priority="1000">
      <formula>ISERROR(D60)</formula>
    </cfRule>
  </conditionalFormatting>
  <conditionalFormatting sqref="N76">
    <cfRule type="containsErrors" dxfId="631" priority="999">
      <formula>ISERROR(N76)</formula>
    </cfRule>
  </conditionalFormatting>
  <conditionalFormatting sqref="AH60:AH72">
    <cfRule type="containsErrors" dxfId="630" priority="998">
      <formula>ISERROR(AH60)</formula>
    </cfRule>
  </conditionalFormatting>
  <conditionalFormatting sqref="AS60:AS72">
    <cfRule type="containsErrors" dxfId="629" priority="997">
      <formula>ISERROR(AS60)</formula>
    </cfRule>
  </conditionalFormatting>
  <conditionalFormatting sqref="BD60:BD72">
    <cfRule type="containsErrors" dxfId="628" priority="996">
      <formula>ISERROR(BD60)</formula>
    </cfRule>
  </conditionalFormatting>
  <conditionalFormatting sqref="CB60:CB72">
    <cfRule type="containsErrors" dxfId="627" priority="995">
      <formula>ISERROR(CB60)</formula>
    </cfRule>
  </conditionalFormatting>
  <conditionalFormatting sqref="CM60:CM72">
    <cfRule type="containsErrors" dxfId="626" priority="994">
      <formula>ISERROR(CM60)</formula>
    </cfRule>
  </conditionalFormatting>
  <conditionalFormatting sqref="CX60:CX72">
    <cfRule type="containsErrors" dxfId="625" priority="993">
      <formula>ISERROR(CX60)</formula>
    </cfRule>
  </conditionalFormatting>
  <conditionalFormatting sqref="DI60:DI72">
    <cfRule type="containsErrors" dxfId="624" priority="992">
      <formula>ISERROR(DI60)</formula>
    </cfRule>
  </conditionalFormatting>
  <conditionalFormatting sqref="DH57">
    <cfRule type="containsErrors" dxfId="623" priority="991">
      <formula>ISERROR(DH57)</formula>
    </cfRule>
  </conditionalFormatting>
  <conditionalFormatting sqref="K60:K72">
    <cfRule type="containsErrors" dxfId="622" priority="990">
      <formula>ISERROR(K60)</formula>
    </cfRule>
  </conditionalFormatting>
  <conditionalFormatting sqref="K59">
    <cfRule type="containsErrors" dxfId="621" priority="989">
      <formula>ISERROR(K59)</formula>
    </cfRule>
  </conditionalFormatting>
  <conditionalFormatting sqref="M74">
    <cfRule type="containsErrors" dxfId="620" priority="988">
      <formula>ISERROR(M74)</formula>
    </cfRule>
  </conditionalFormatting>
  <conditionalFormatting sqref="J74">
    <cfRule type="containsErrors" dxfId="619" priority="987">
      <formula>ISERROR(J74)</formula>
    </cfRule>
  </conditionalFormatting>
  <conditionalFormatting sqref="J74">
    <cfRule type="containsErrors" dxfId="618" priority="986">
      <formula>ISERROR(J74)</formula>
    </cfRule>
  </conditionalFormatting>
  <conditionalFormatting sqref="J75">
    <cfRule type="containsErrors" dxfId="617" priority="985">
      <formula>ISERROR(J75)</formula>
    </cfRule>
  </conditionalFormatting>
  <conditionalFormatting sqref="L59:L72">
    <cfRule type="containsErrors" dxfId="616" priority="984">
      <formula>ISERROR(L59)</formula>
    </cfRule>
  </conditionalFormatting>
  <conditionalFormatting sqref="BH7:BH18">
    <cfRule type="containsErrors" dxfId="615" priority="983">
      <formula>ISERROR(BH7)</formula>
    </cfRule>
  </conditionalFormatting>
  <conditionalFormatting sqref="BK7:BK18">
    <cfRule type="containsErrors" dxfId="614" priority="980">
      <formula>ISERROR(BK7)</formula>
    </cfRule>
  </conditionalFormatting>
  <conditionalFormatting sqref="C34:C45">
    <cfRule type="containsErrors" dxfId="613" priority="978">
      <formula>ISERROR(C34)</formula>
    </cfRule>
  </conditionalFormatting>
  <conditionalFormatting sqref="BH34:BH45">
    <cfRule type="containsErrors" dxfId="612" priority="973">
      <formula>ISERROR(BH34)</formula>
    </cfRule>
  </conditionalFormatting>
  <conditionalFormatting sqref="F34:F45">
    <cfRule type="containsErrors" dxfId="611" priority="975">
      <formula>ISERROR(F34)</formula>
    </cfRule>
  </conditionalFormatting>
  <conditionalFormatting sqref="BG48:BH48 BL48:BN48 BJ48">
    <cfRule type="containsErrors" dxfId="610" priority="974">
      <formula>ISERROR(BG48)</formula>
    </cfRule>
  </conditionalFormatting>
  <conditionalFormatting sqref="BK34:BK45">
    <cfRule type="containsErrors" dxfId="609" priority="970">
      <formula>ISERROR(BK34)</formula>
    </cfRule>
  </conditionalFormatting>
  <conditionalFormatting sqref="BI7:BI18">
    <cfRule type="containsErrors" dxfId="608" priority="969">
      <formula>ISERROR(BI7)</formula>
    </cfRule>
  </conditionalFormatting>
  <conditionalFormatting sqref="BI34:BI45">
    <cfRule type="containsErrors" dxfId="607" priority="968">
      <formula>ISERROR(BI34)</formula>
    </cfRule>
  </conditionalFormatting>
  <conditionalFormatting sqref="D34:D45">
    <cfRule type="containsErrors" dxfId="606" priority="967">
      <formula>ISERROR(D34)</formula>
    </cfRule>
  </conditionalFormatting>
  <conditionalFormatting sqref="I34:I45">
    <cfRule type="containsErrors" dxfId="605" priority="966">
      <formula>ISERROR(I34)</formula>
    </cfRule>
  </conditionalFormatting>
  <conditionalFormatting sqref="BN34:BN45">
    <cfRule type="containsErrors" dxfId="604" priority="965">
      <formula>ISERROR(BN34)</formula>
    </cfRule>
  </conditionalFormatting>
  <conditionalFormatting sqref="BN7:BN18">
    <cfRule type="containsErrors" dxfId="603" priority="964">
      <formula>ISERROR(BN7)</formula>
    </cfRule>
  </conditionalFormatting>
  <conditionalFormatting sqref="E34:E45">
    <cfRule type="containsErrors" dxfId="602" priority="963">
      <formula>ISERROR(E34)</formula>
    </cfRule>
  </conditionalFormatting>
  <conditionalFormatting sqref="BJ34:BJ45">
    <cfRule type="containsErrors" dxfId="601" priority="962">
      <formula>ISERROR(BJ34)</formula>
    </cfRule>
  </conditionalFormatting>
  <conditionalFormatting sqref="BJ7:BJ18">
    <cfRule type="containsErrors" dxfId="600" priority="961">
      <formula>ISERROR(BJ7)</formula>
    </cfRule>
  </conditionalFormatting>
  <conditionalFormatting sqref="AK47">
    <cfRule type="containsErrors" dxfId="599" priority="960">
      <formula>ISERROR(AK47)</formula>
    </cfRule>
  </conditionalFormatting>
  <conditionalFormatting sqref="AV47">
    <cfRule type="containsErrors" dxfId="598" priority="959">
      <formula>ISERROR(AV47)</formula>
    </cfRule>
  </conditionalFormatting>
  <conditionalFormatting sqref="BT47">
    <cfRule type="containsErrors" dxfId="597" priority="958">
      <formula>ISERROR(BT47)</formula>
    </cfRule>
  </conditionalFormatting>
  <conditionalFormatting sqref="CE47">
    <cfRule type="containsErrors" dxfId="596" priority="957">
      <formula>ISERROR(CE47)</formula>
    </cfRule>
  </conditionalFormatting>
  <conditionalFormatting sqref="CE47">
    <cfRule type="containsErrors" dxfId="595" priority="956">
      <formula>ISERROR(CE47)</formula>
    </cfRule>
  </conditionalFormatting>
  <conditionalFormatting sqref="CP47">
    <cfRule type="containsErrors" dxfId="594" priority="955">
      <formula>ISERROR(CP47)</formula>
    </cfRule>
  </conditionalFormatting>
  <conditionalFormatting sqref="DA47">
    <cfRule type="containsErrors" dxfId="593" priority="954">
      <formula>ISERROR(DA47)</formula>
    </cfRule>
  </conditionalFormatting>
  <conditionalFormatting sqref="DA20">
    <cfRule type="containsErrors" dxfId="592" priority="953">
      <formula>ISERROR(DA20)</formula>
    </cfRule>
  </conditionalFormatting>
  <conditionalFormatting sqref="DA20">
    <cfRule type="containsErrors" dxfId="591" priority="952">
      <formula>ISERROR(DA20)</formula>
    </cfRule>
  </conditionalFormatting>
  <conditionalFormatting sqref="DA20">
    <cfRule type="containsErrors" dxfId="590" priority="951">
      <formula>ISERROR(DA20)</formula>
    </cfRule>
  </conditionalFormatting>
  <conditionalFormatting sqref="CP20">
    <cfRule type="containsErrors" dxfId="589" priority="950">
      <formula>ISERROR(CP20)</formula>
    </cfRule>
  </conditionalFormatting>
  <conditionalFormatting sqref="CP20">
    <cfRule type="containsErrors" dxfId="588" priority="949">
      <formula>ISERROR(CP20)</formula>
    </cfRule>
  </conditionalFormatting>
  <conditionalFormatting sqref="CP20">
    <cfRule type="containsErrors" dxfId="587" priority="948">
      <formula>ISERROR(CP20)</formula>
    </cfRule>
  </conditionalFormatting>
  <conditionalFormatting sqref="CE20">
    <cfRule type="containsErrors" dxfId="586" priority="947">
      <formula>ISERROR(CE20)</formula>
    </cfRule>
  </conditionalFormatting>
  <conditionalFormatting sqref="CE20">
    <cfRule type="containsErrors" dxfId="585" priority="946">
      <formula>ISERROR(CE20)</formula>
    </cfRule>
  </conditionalFormatting>
  <conditionalFormatting sqref="CE20">
    <cfRule type="containsErrors" dxfId="584" priority="945">
      <formula>ISERROR(CE20)</formula>
    </cfRule>
  </conditionalFormatting>
  <conditionalFormatting sqref="BT20">
    <cfRule type="containsErrors" dxfId="583" priority="944">
      <formula>ISERROR(BT20)</formula>
    </cfRule>
  </conditionalFormatting>
  <conditionalFormatting sqref="BT20">
    <cfRule type="containsErrors" dxfId="582" priority="943">
      <formula>ISERROR(BT20)</formula>
    </cfRule>
  </conditionalFormatting>
  <conditionalFormatting sqref="BT20">
    <cfRule type="containsErrors" dxfId="581" priority="942">
      <formula>ISERROR(BT20)</formula>
    </cfRule>
  </conditionalFormatting>
  <conditionalFormatting sqref="AV20">
    <cfRule type="containsErrors" dxfId="580" priority="941">
      <formula>ISERROR(AV20)</formula>
    </cfRule>
  </conditionalFormatting>
  <conditionalFormatting sqref="AV20">
    <cfRule type="containsErrors" dxfId="579" priority="940">
      <formula>ISERROR(AV20)</formula>
    </cfRule>
  </conditionalFormatting>
  <conditionalFormatting sqref="AV20">
    <cfRule type="containsErrors" dxfId="578" priority="939">
      <formula>ISERROR(AV20)</formula>
    </cfRule>
  </conditionalFormatting>
  <conditionalFormatting sqref="AK20">
    <cfRule type="containsErrors" dxfId="577" priority="938">
      <formula>ISERROR(AK20)</formula>
    </cfRule>
  </conditionalFormatting>
  <conditionalFormatting sqref="AK20">
    <cfRule type="containsErrors" dxfId="576" priority="937">
      <formula>ISERROR(AK20)</formula>
    </cfRule>
  </conditionalFormatting>
  <conditionalFormatting sqref="AK20">
    <cfRule type="containsErrors" dxfId="575" priority="936">
      <formula>ISERROR(AK20)</formula>
    </cfRule>
  </conditionalFormatting>
  <conditionalFormatting sqref="Z20">
    <cfRule type="containsErrors" dxfId="574" priority="935">
      <formula>ISERROR(Z20)</formula>
    </cfRule>
  </conditionalFormatting>
  <conditionalFormatting sqref="Z20">
    <cfRule type="containsErrors" dxfId="573" priority="934">
      <formula>ISERROR(Z20)</formula>
    </cfRule>
  </conditionalFormatting>
  <conditionalFormatting sqref="Z20">
    <cfRule type="containsErrors" dxfId="572" priority="933">
      <formula>ISERROR(Z20)</formula>
    </cfRule>
  </conditionalFormatting>
  <conditionalFormatting sqref="O20">
    <cfRule type="containsErrors" dxfId="571" priority="932">
      <formula>ISERROR(O20)</formula>
    </cfRule>
  </conditionalFormatting>
  <conditionalFormatting sqref="O20">
    <cfRule type="containsErrors" dxfId="570" priority="931">
      <formula>ISERROR(O20)</formula>
    </cfRule>
  </conditionalFormatting>
  <conditionalFormatting sqref="O20">
    <cfRule type="containsErrors" dxfId="569" priority="930">
      <formula>ISERROR(O20)</formula>
    </cfRule>
  </conditionalFormatting>
  <conditionalFormatting sqref="F48">
    <cfRule type="containsErrors" dxfId="568" priority="929">
      <formula>ISERROR(F48)</formula>
    </cfRule>
  </conditionalFormatting>
  <conditionalFormatting sqref="F74:F75">
    <cfRule type="containsErrors" dxfId="567" priority="928">
      <formula>ISERROR(F74)</formula>
    </cfRule>
  </conditionalFormatting>
  <conditionalFormatting sqref="D75">
    <cfRule type="containsErrors" dxfId="566" priority="927">
      <formula>ISERROR(D75)</formula>
    </cfRule>
  </conditionalFormatting>
  <conditionalFormatting sqref="C75">
    <cfRule type="containsErrors" dxfId="565" priority="926">
      <formula>ISERROR(C75)</formula>
    </cfRule>
  </conditionalFormatting>
  <conditionalFormatting sqref="B61:B72">
    <cfRule type="containsErrors" dxfId="564" priority="924">
      <formula>ISERROR(B61)</formula>
    </cfRule>
  </conditionalFormatting>
  <conditionalFormatting sqref="C88">
    <cfRule type="containsErrors" dxfId="563" priority="923">
      <formula>ISERROR(C88)</formula>
    </cfRule>
  </conditionalFormatting>
  <conditionalFormatting sqref="D88">
    <cfRule type="containsErrors" dxfId="562" priority="922">
      <formula>ISERROR(D88)</formula>
    </cfRule>
  </conditionalFormatting>
  <conditionalFormatting sqref="E88">
    <cfRule type="containsErrors" dxfId="561" priority="921">
      <formula>ISERROR(E88)</formula>
    </cfRule>
  </conditionalFormatting>
  <conditionalFormatting sqref="F88">
    <cfRule type="containsErrors" dxfId="560" priority="920">
      <formula>ISERROR(F88)</formula>
    </cfRule>
  </conditionalFormatting>
  <conditionalFormatting sqref="B80">
    <cfRule type="containsErrors" dxfId="559" priority="919">
      <formula>ISERROR(B80)</formula>
    </cfRule>
  </conditionalFormatting>
  <conditionalFormatting sqref="B78">
    <cfRule type="containsErrors" dxfId="558" priority="918">
      <formula>ISERROR(B78)</formula>
    </cfRule>
  </conditionalFormatting>
  <conditionalFormatting sqref="G61:G72">
    <cfRule type="containsErrors" dxfId="557" priority="917">
      <formula>ISERROR(G61)</formula>
    </cfRule>
  </conditionalFormatting>
  <conditionalFormatting sqref="K393">
    <cfRule type="containsErrors" dxfId="556" priority="854">
      <formula>ISERROR(K393)</formula>
    </cfRule>
  </conditionalFormatting>
  <conditionalFormatting sqref="H60:H72">
    <cfRule type="containsErrors" dxfId="555" priority="915">
      <formula>ISERROR(H60)</formula>
    </cfRule>
  </conditionalFormatting>
  <conditionalFormatting sqref="I61:I72">
    <cfRule type="containsErrors" dxfId="554" priority="914">
      <formula>ISERROR(I61)</formula>
    </cfRule>
  </conditionalFormatting>
  <conditionalFormatting sqref="J60:J72">
    <cfRule type="containsErrors" dxfId="553" priority="913">
      <formula>ISERROR(J60)</formula>
    </cfRule>
  </conditionalFormatting>
  <conditionalFormatting sqref="K108">
    <cfRule type="containsErrors" dxfId="552" priority="912">
      <formula>ISERROR(K108)</formula>
    </cfRule>
  </conditionalFormatting>
  <conditionalFormatting sqref="M216:M228">
    <cfRule type="containsErrors" dxfId="551" priority="540">
      <formula>ISERROR(M216)</formula>
    </cfRule>
  </conditionalFormatting>
  <conditionalFormatting sqref="K107">
    <cfRule type="containsErrors" dxfId="550" priority="909">
      <formula>ISERROR(K107)</formula>
    </cfRule>
  </conditionalFormatting>
  <conditionalFormatting sqref="K107">
    <cfRule type="containsErrors" dxfId="549" priority="908">
      <formula>ISERROR(K107)</formula>
    </cfRule>
  </conditionalFormatting>
  <conditionalFormatting sqref="K134">
    <cfRule type="containsErrors" dxfId="548" priority="907">
      <formula>ISERROR(K134)</formula>
    </cfRule>
  </conditionalFormatting>
  <conditionalFormatting sqref="K133">
    <cfRule type="containsErrors" dxfId="547" priority="904">
      <formula>ISERROR(K133)</formula>
    </cfRule>
  </conditionalFormatting>
  <conditionalFormatting sqref="K133">
    <cfRule type="containsErrors" dxfId="546" priority="903">
      <formula>ISERROR(K133)</formula>
    </cfRule>
  </conditionalFormatting>
  <conditionalFormatting sqref="K160">
    <cfRule type="containsErrors" dxfId="545" priority="902">
      <formula>ISERROR(K160)</formula>
    </cfRule>
  </conditionalFormatting>
  <conditionalFormatting sqref="K159">
    <cfRule type="containsErrors" dxfId="544" priority="899">
      <formula>ISERROR(K159)</formula>
    </cfRule>
  </conditionalFormatting>
  <conditionalFormatting sqref="K159">
    <cfRule type="containsErrors" dxfId="543" priority="898">
      <formula>ISERROR(K159)</formula>
    </cfRule>
  </conditionalFormatting>
  <conditionalFormatting sqref="K186">
    <cfRule type="containsErrors" dxfId="542" priority="897">
      <formula>ISERROR(K186)</formula>
    </cfRule>
  </conditionalFormatting>
  <conditionalFormatting sqref="R387:R392">
    <cfRule type="containsErrors" dxfId="541" priority="599">
      <formula>ISERROR(R387)</formula>
    </cfRule>
  </conditionalFormatting>
  <conditionalFormatting sqref="K185">
    <cfRule type="containsErrors" dxfId="540" priority="894">
      <formula>ISERROR(K185)</formula>
    </cfRule>
  </conditionalFormatting>
  <conditionalFormatting sqref="K185">
    <cfRule type="containsErrors" dxfId="539" priority="893">
      <formula>ISERROR(K185)</formula>
    </cfRule>
  </conditionalFormatting>
  <conditionalFormatting sqref="K212">
    <cfRule type="containsErrors" dxfId="538" priority="892">
      <formula>ISERROR(K212)</formula>
    </cfRule>
  </conditionalFormatting>
  <conditionalFormatting sqref="T361:T366">
    <cfRule type="containsErrors" dxfId="537" priority="620">
      <formula>ISERROR(T361)</formula>
    </cfRule>
  </conditionalFormatting>
  <conditionalFormatting sqref="K211">
    <cfRule type="containsErrors" dxfId="536" priority="889">
      <formula>ISERROR(K211)</formula>
    </cfRule>
  </conditionalFormatting>
  <conditionalFormatting sqref="K211">
    <cfRule type="containsErrors" dxfId="535" priority="888">
      <formula>ISERROR(K211)</formula>
    </cfRule>
  </conditionalFormatting>
  <conditionalFormatting sqref="K238">
    <cfRule type="containsErrors" dxfId="534" priority="887">
      <formula>ISERROR(K238)</formula>
    </cfRule>
  </conditionalFormatting>
  <conditionalFormatting sqref="Q392 Q386 Q388:Q389">
    <cfRule type="containsErrors" dxfId="533" priority="597">
      <formula>ISERROR(Q386)</formula>
    </cfRule>
  </conditionalFormatting>
  <conditionalFormatting sqref="K237">
    <cfRule type="containsErrors" dxfId="532" priority="884">
      <formula>ISERROR(K237)</formula>
    </cfRule>
  </conditionalFormatting>
  <conditionalFormatting sqref="K237">
    <cfRule type="containsErrors" dxfId="531" priority="883">
      <formula>ISERROR(K237)</formula>
    </cfRule>
  </conditionalFormatting>
  <conditionalFormatting sqref="K264">
    <cfRule type="containsErrors" dxfId="530" priority="882">
      <formula>ISERROR(K264)</formula>
    </cfRule>
  </conditionalFormatting>
  <conditionalFormatting sqref="K263">
    <cfRule type="containsErrors" dxfId="529" priority="879">
      <formula>ISERROR(K263)</formula>
    </cfRule>
  </conditionalFormatting>
  <conditionalFormatting sqref="K263">
    <cfRule type="containsErrors" dxfId="528" priority="878">
      <formula>ISERROR(K263)</formula>
    </cfRule>
  </conditionalFormatting>
  <conditionalFormatting sqref="K290">
    <cfRule type="containsErrors" dxfId="527" priority="877">
      <formula>ISERROR(K290)</formula>
    </cfRule>
  </conditionalFormatting>
  <conditionalFormatting sqref="T309:T314">
    <cfRule type="containsErrors" dxfId="526" priority="662">
      <formula>ISERROR(T309)</formula>
    </cfRule>
  </conditionalFormatting>
  <conditionalFormatting sqref="Q366 Q360 Q362:Q363">
    <cfRule type="containsErrors" dxfId="525" priority="618">
      <formula>ISERROR(Q360)</formula>
    </cfRule>
  </conditionalFormatting>
  <conditionalFormatting sqref="K289">
    <cfRule type="containsErrors" dxfId="524" priority="874">
      <formula>ISERROR(K289)</formula>
    </cfRule>
  </conditionalFormatting>
  <conditionalFormatting sqref="K289">
    <cfRule type="containsErrors" dxfId="523" priority="873">
      <formula>ISERROR(K289)</formula>
    </cfRule>
  </conditionalFormatting>
  <conditionalFormatting sqref="K316">
    <cfRule type="containsErrors" dxfId="522" priority="872">
      <formula>ISERROR(K316)</formula>
    </cfRule>
  </conditionalFormatting>
  <conditionalFormatting sqref="K315">
    <cfRule type="containsErrors" dxfId="521" priority="869">
      <formula>ISERROR(K315)</formula>
    </cfRule>
  </conditionalFormatting>
  <conditionalFormatting sqref="K315">
    <cfRule type="containsErrors" dxfId="520" priority="868">
      <formula>ISERROR(K315)</formula>
    </cfRule>
  </conditionalFormatting>
  <conditionalFormatting sqref="K342">
    <cfRule type="containsErrors" dxfId="519" priority="867">
      <formula>ISERROR(K342)</formula>
    </cfRule>
  </conditionalFormatting>
  <conditionalFormatting sqref="T335:T340">
    <cfRule type="containsErrors" dxfId="518" priority="641">
      <formula>ISERROR(T335)</formula>
    </cfRule>
  </conditionalFormatting>
  <conditionalFormatting sqref="K341">
    <cfRule type="containsErrors" dxfId="517" priority="864">
      <formula>ISERROR(K341)</formula>
    </cfRule>
  </conditionalFormatting>
  <conditionalFormatting sqref="K341">
    <cfRule type="containsErrors" dxfId="516" priority="863">
      <formula>ISERROR(K341)</formula>
    </cfRule>
  </conditionalFormatting>
  <conditionalFormatting sqref="K368">
    <cfRule type="containsErrors" dxfId="515" priority="862">
      <formula>ISERROR(K368)</formula>
    </cfRule>
  </conditionalFormatting>
  <conditionalFormatting sqref="K367">
    <cfRule type="containsErrors" dxfId="514" priority="859">
      <formula>ISERROR(K367)</formula>
    </cfRule>
  </conditionalFormatting>
  <conditionalFormatting sqref="K367">
    <cfRule type="containsErrors" dxfId="513" priority="858">
      <formula>ISERROR(K367)</formula>
    </cfRule>
  </conditionalFormatting>
  <conditionalFormatting sqref="K394">
    <cfRule type="containsErrors" dxfId="512" priority="857">
      <formula>ISERROR(K394)</formula>
    </cfRule>
  </conditionalFormatting>
  <conditionalFormatting sqref="T231:T236">
    <cfRule type="containsErrors" dxfId="511" priority="725">
      <formula>ISERROR(T231)</formula>
    </cfRule>
  </conditionalFormatting>
  <conditionalFormatting sqref="K393">
    <cfRule type="containsErrors" dxfId="510" priority="853">
      <formula>ISERROR(K393)</formula>
    </cfRule>
  </conditionalFormatting>
  <conditionalFormatting sqref="K371">
    <cfRule type="containsErrors" dxfId="509" priority="478">
      <formula>ISERROR(K371)</formula>
    </cfRule>
  </conditionalFormatting>
  <conditionalFormatting sqref="B145">
    <cfRule type="containsErrors" dxfId="508" priority="472">
      <formula>ISERROR(B145)</formula>
    </cfRule>
  </conditionalFormatting>
  <conditionalFormatting sqref="L371:L384">
    <cfRule type="containsErrors" dxfId="507" priority="477">
      <formula>ISERROR(L371)</formula>
    </cfRule>
  </conditionalFormatting>
  <conditionalFormatting sqref="Q106 Q100 Q102:Q103">
    <cfRule type="containsErrors" dxfId="506" priority="846">
      <formula>ISERROR(Q100)</formula>
    </cfRule>
  </conditionalFormatting>
  <conditionalFormatting sqref="K99:L99 N86:N99">
    <cfRule type="containsErrors" dxfId="505" priority="845">
      <formula>ISERROR(K86)</formula>
    </cfRule>
  </conditionalFormatting>
  <conditionalFormatting sqref="Q236 Q230 Q232:Q233">
    <cfRule type="containsErrors" dxfId="504" priority="723">
      <formula>ISERROR(Q230)</formula>
    </cfRule>
  </conditionalFormatting>
  <conditionalFormatting sqref="M85 M99">
    <cfRule type="containsErrors" dxfId="503" priority="837">
      <formula>ISERROR(M85)</formula>
    </cfRule>
  </conditionalFormatting>
  <conditionalFormatting sqref="M86:M98">
    <cfRule type="containsErrors" dxfId="502" priority="834">
      <formula>ISERROR(M86)</formula>
    </cfRule>
  </conditionalFormatting>
  <conditionalFormatting sqref="T257:T262">
    <cfRule type="containsErrors" dxfId="501" priority="704">
      <formula>ISERROR(T257)</formula>
    </cfRule>
  </conditionalFormatting>
  <conditionalFormatting sqref="K86:K98">
    <cfRule type="containsErrors" dxfId="500" priority="832">
      <formula>ISERROR(K86)</formula>
    </cfRule>
  </conditionalFormatting>
  <conditionalFormatting sqref="K85">
    <cfRule type="containsErrors" dxfId="499" priority="831">
      <formula>ISERROR(K85)</formula>
    </cfRule>
  </conditionalFormatting>
  <conditionalFormatting sqref="L85:L98">
    <cfRule type="containsErrors" dxfId="498" priority="829">
      <formula>ISERROR(L85)</formula>
    </cfRule>
  </conditionalFormatting>
  <conditionalFormatting sqref="K359:L359 N346:N359">
    <cfRule type="containsErrors" dxfId="497" priority="495">
      <formula>ISERROR(K346)</formula>
    </cfRule>
  </conditionalFormatting>
  <conditionalFormatting sqref="N371">
    <cfRule type="containsErrors" dxfId="496" priority="486">
      <formula>ISERROR(N371)</formula>
    </cfRule>
  </conditionalFormatting>
  <conditionalFormatting sqref="M345 M359">
    <cfRule type="containsErrors" dxfId="495" priority="492">
      <formula>ISERROR(M345)</formula>
    </cfRule>
  </conditionalFormatting>
  <conditionalFormatting sqref="M346:M358">
    <cfRule type="containsErrors" dxfId="494" priority="490">
      <formula>ISERROR(M346)</formula>
    </cfRule>
  </conditionalFormatting>
  <conditionalFormatting sqref="K346:K358">
    <cfRule type="containsErrors" dxfId="493" priority="489">
      <formula>ISERROR(K346)</formula>
    </cfRule>
  </conditionalFormatting>
  <conditionalFormatting sqref="L345:L358">
    <cfRule type="containsErrors" dxfId="492" priority="487">
      <formula>ISERROR(L345)</formula>
    </cfRule>
  </conditionalFormatting>
  <conditionalFormatting sqref="K345">
    <cfRule type="containsErrors" dxfId="491" priority="488">
      <formula>ISERROR(K345)</formula>
    </cfRule>
  </conditionalFormatting>
  <conditionalFormatting sqref="K385:L385 N372:N385">
    <cfRule type="containsErrors" dxfId="490" priority="485">
      <formula>ISERROR(K372)</formula>
    </cfRule>
  </conditionalFormatting>
  <conditionalFormatting sqref="M371 M385">
    <cfRule type="containsErrors" dxfId="489" priority="482">
      <formula>ISERROR(M371)</formula>
    </cfRule>
  </conditionalFormatting>
  <conditionalFormatting sqref="L101">
    <cfRule type="containsErrors" dxfId="488" priority="464">
      <formula>ISERROR(L101)</formula>
    </cfRule>
  </conditionalFormatting>
  <conditionalFormatting sqref="M372:M384">
    <cfRule type="containsErrors" dxfId="487" priority="480">
      <formula>ISERROR(M372)</formula>
    </cfRule>
  </conditionalFormatting>
  <conditionalFormatting sqref="K372:K384">
    <cfRule type="containsErrors" dxfId="486" priority="479">
      <formula>ISERROR(K372)</formula>
    </cfRule>
  </conditionalFormatting>
  <conditionalFormatting sqref="Q288 Q282 Q284:Q285">
    <cfRule type="containsErrors" dxfId="485" priority="681">
      <formula>ISERROR(Q282)</formula>
    </cfRule>
  </conditionalFormatting>
  <conditionalFormatting sqref="T127:T132">
    <cfRule type="containsErrors" dxfId="484" priority="809">
      <formula>ISERROR(T127)</formula>
    </cfRule>
  </conditionalFormatting>
  <conditionalFormatting sqref="T126">
    <cfRule type="containsErrors" dxfId="483" priority="808">
      <formula>ISERROR(T126)</formula>
    </cfRule>
  </conditionalFormatting>
  <conditionalFormatting sqref="Q132 Q126 Q128:Q129">
    <cfRule type="containsErrors" dxfId="482" priority="807">
      <formula>ISERROR(Q126)</formula>
    </cfRule>
  </conditionalFormatting>
  <conditionalFormatting sqref="T283:T288">
    <cfRule type="containsErrors" dxfId="481" priority="683">
      <formula>ISERROR(T283)</formula>
    </cfRule>
  </conditionalFormatting>
  <conditionalFormatting sqref="T153:T158">
    <cfRule type="containsErrors" dxfId="480" priority="788">
      <formula>ISERROR(T153)</formula>
    </cfRule>
  </conditionalFormatting>
  <conditionalFormatting sqref="T152">
    <cfRule type="containsErrors" dxfId="479" priority="787">
      <formula>ISERROR(T152)</formula>
    </cfRule>
  </conditionalFormatting>
  <conditionalFormatting sqref="Q158 Q152 Q154:Q155">
    <cfRule type="containsErrors" dxfId="478" priority="786">
      <formula>ISERROR(Q152)</formula>
    </cfRule>
  </conditionalFormatting>
  <conditionalFormatting sqref="T282">
    <cfRule type="containsErrors" dxfId="477" priority="682">
      <formula>ISERROR(T282)</formula>
    </cfRule>
  </conditionalFormatting>
  <conditionalFormatting sqref="T360">
    <cfRule type="containsErrors" dxfId="476" priority="619">
      <formula>ISERROR(T360)</formula>
    </cfRule>
  </conditionalFormatting>
  <conditionalFormatting sqref="T308">
    <cfRule type="containsErrors" dxfId="475" priority="661">
      <formula>ISERROR(T308)</formula>
    </cfRule>
  </conditionalFormatting>
  <conditionalFormatting sqref="T179:T184">
    <cfRule type="containsErrors" dxfId="474" priority="767">
      <formula>ISERROR(T179)</formula>
    </cfRule>
  </conditionalFormatting>
  <conditionalFormatting sqref="T178">
    <cfRule type="containsErrors" dxfId="473" priority="766">
      <formula>ISERROR(T178)</formula>
    </cfRule>
  </conditionalFormatting>
  <conditionalFormatting sqref="Q184 Q178 Q180:Q181">
    <cfRule type="containsErrors" dxfId="472" priority="765">
      <formula>ISERROR(Q178)</formula>
    </cfRule>
  </conditionalFormatting>
  <conditionalFormatting sqref="Q314 Q308 Q310:Q311">
    <cfRule type="containsErrors" dxfId="471" priority="660">
      <formula>ISERROR(Q308)</formula>
    </cfRule>
  </conditionalFormatting>
  <conditionalFormatting sqref="T205:T210">
    <cfRule type="containsErrors" dxfId="470" priority="746">
      <formula>ISERROR(T205)</formula>
    </cfRule>
  </conditionalFormatting>
  <conditionalFormatting sqref="T204">
    <cfRule type="containsErrors" dxfId="469" priority="745">
      <formula>ISERROR(T204)</formula>
    </cfRule>
  </conditionalFormatting>
  <conditionalFormatting sqref="Q210 Q204 Q206:Q207">
    <cfRule type="containsErrors" dxfId="468" priority="744">
      <formula>ISERROR(Q204)</formula>
    </cfRule>
  </conditionalFormatting>
  <conditionalFormatting sqref="Q340 Q334 Q336:Q337">
    <cfRule type="containsErrors" dxfId="467" priority="639">
      <formula>ISERROR(Q334)</formula>
    </cfRule>
  </conditionalFormatting>
  <conditionalFormatting sqref="R386">
    <cfRule type="containsErrors" dxfId="466" priority="598">
      <formula>ISERROR(R386)</formula>
    </cfRule>
  </conditionalFormatting>
  <conditionalFormatting sqref="T230">
    <cfRule type="containsErrors" dxfId="465" priority="724">
      <formula>ISERROR(T230)</formula>
    </cfRule>
  </conditionalFormatting>
  <conditionalFormatting sqref="T334">
    <cfRule type="containsErrors" dxfId="464" priority="640">
      <formula>ISERROR(T334)</formula>
    </cfRule>
  </conditionalFormatting>
  <conditionalFormatting sqref="T256">
    <cfRule type="containsErrors" dxfId="463" priority="703">
      <formula>ISERROR(T256)</formula>
    </cfRule>
  </conditionalFormatting>
  <conditionalFormatting sqref="Q262 Q256 Q258:Q259">
    <cfRule type="containsErrors" dxfId="462" priority="702">
      <formula>ISERROR(Q256)</formula>
    </cfRule>
  </conditionalFormatting>
  <conditionalFormatting sqref="B117">
    <cfRule type="containsErrors" dxfId="461" priority="578">
      <formula>ISERROR(B117)</formula>
    </cfRule>
  </conditionalFormatting>
  <conditionalFormatting sqref="N215 P215">
    <cfRule type="containsErrors" dxfId="460" priority="546">
      <formula>ISERROR(N215)</formula>
    </cfRule>
  </conditionalFormatting>
  <conditionalFormatting sqref="K229:L229 N216:N229 P229">
    <cfRule type="containsErrors" dxfId="459" priority="545">
      <formula>ISERROR(K216)</formula>
    </cfRule>
  </conditionalFormatting>
  <conditionalFormatting sqref="P214">
    <cfRule type="containsErrors" dxfId="458" priority="544">
      <formula>ISERROR(P214)</formula>
    </cfRule>
  </conditionalFormatting>
  <conditionalFormatting sqref="N267">
    <cfRule type="containsErrors" dxfId="457" priority="526">
      <formula>ISERROR(N267)</formula>
    </cfRule>
  </conditionalFormatting>
  <conditionalFormatting sqref="M215 M229">
    <cfRule type="containsErrors" dxfId="456" priority="542">
      <formula>ISERROR(M215)</formula>
    </cfRule>
  </conditionalFormatting>
  <conditionalFormatting sqref="K255:L255 N242:N255 P255">
    <cfRule type="containsErrors" dxfId="455" priority="535">
      <formula>ISERROR(K242)</formula>
    </cfRule>
  </conditionalFormatting>
  <conditionalFormatting sqref="K216:K228">
    <cfRule type="containsErrors" dxfId="454" priority="539">
      <formula>ISERROR(K216)</formula>
    </cfRule>
  </conditionalFormatting>
  <conditionalFormatting sqref="K215">
    <cfRule type="containsErrors" dxfId="453" priority="538">
      <formula>ISERROR(K215)</formula>
    </cfRule>
  </conditionalFormatting>
  <conditionalFormatting sqref="L215:L228">
    <cfRule type="containsErrors" dxfId="452" priority="537">
      <formula>ISERROR(L215)</formula>
    </cfRule>
  </conditionalFormatting>
  <conditionalFormatting sqref="N241 P241">
    <cfRule type="containsErrors" dxfId="451" priority="536">
      <formula>ISERROR(N241)</formula>
    </cfRule>
  </conditionalFormatting>
  <conditionalFormatting sqref="K267">
    <cfRule type="containsErrors" dxfId="450" priority="518">
      <formula>ISERROR(K267)</formula>
    </cfRule>
  </conditionalFormatting>
  <conditionalFormatting sqref="P240">
    <cfRule type="containsErrors" dxfId="449" priority="534">
      <formula>ISERROR(P240)</formula>
    </cfRule>
  </conditionalFormatting>
  <conditionalFormatting sqref="M241 M255">
    <cfRule type="containsErrors" dxfId="448" priority="532">
      <formula>ISERROR(M241)</formula>
    </cfRule>
  </conditionalFormatting>
  <conditionalFormatting sqref="M242:M254">
    <cfRule type="containsErrors" dxfId="447" priority="530">
      <formula>ISERROR(M242)</formula>
    </cfRule>
  </conditionalFormatting>
  <conditionalFormatting sqref="K242:K254">
    <cfRule type="containsErrors" dxfId="446" priority="529">
      <formula>ISERROR(K242)</formula>
    </cfRule>
  </conditionalFormatting>
  <conditionalFormatting sqref="K241">
    <cfRule type="containsErrors" dxfId="445" priority="528">
      <formula>ISERROR(K241)</formula>
    </cfRule>
  </conditionalFormatting>
  <conditionalFormatting sqref="L241:L254">
    <cfRule type="containsErrors" dxfId="444" priority="527">
      <formula>ISERROR(L241)</formula>
    </cfRule>
  </conditionalFormatting>
  <conditionalFormatting sqref="K281:L281 N268:N281">
    <cfRule type="containsErrors" dxfId="443" priority="525">
      <formula>ISERROR(K268)</formula>
    </cfRule>
  </conditionalFormatting>
  <conditionalFormatting sqref="M294:M306">
    <cfRule type="containsErrors" dxfId="442" priority="510">
      <formula>ISERROR(M294)</formula>
    </cfRule>
  </conditionalFormatting>
  <conditionalFormatting sqref="M267 M281">
    <cfRule type="containsErrors" dxfId="441" priority="522">
      <formula>ISERROR(M267)</formula>
    </cfRule>
  </conditionalFormatting>
  <conditionalFormatting sqref="M268:M280">
    <cfRule type="containsErrors" dxfId="440" priority="520">
      <formula>ISERROR(M268)</formula>
    </cfRule>
  </conditionalFormatting>
  <conditionalFormatting sqref="K268:K280">
    <cfRule type="containsErrors" dxfId="439" priority="519">
      <formula>ISERROR(K268)</formula>
    </cfRule>
  </conditionalFormatting>
  <conditionalFormatting sqref="L267:L280">
    <cfRule type="containsErrors" dxfId="438" priority="517">
      <formula>ISERROR(L267)</formula>
    </cfRule>
  </conditionalFormatting>
  <conditionalFormatting sqref="N293">
    <cfRule type="containsErrors" dxfId="437" priority="516">
      <formula>ISERROR(N293)</formula>
    </cfRule>
  </conditionalFormatting>
  <conditionalFormatting sqref="K307:L307 N294:N307">
    <cfRule type="containsErrors" dxfId="436" priority="515">
      <formula>ISERROR(K294)</formula>
    </cfRule>
  </conditionalFormatting>
  <conditionalFormatting sqref="M319 M333">
    <cfRule type="containsErrors" dxfId="435" priority="502">
      <formula>ISERROR(M319)</formula>
    </cfRule>
  </conditionalFormatting>
  <conditionalFormatting sqref="M293 M307">
    <cfRule type="containsErrors" dxfId="434" priority="512">
      <formula>ISERROR(M293)</formula>
    </cfRule>
  </conditionalFormatting>
  <conditionalFormatting sqref="K294:K306">
    <cfRule type="containsErrors" dxfId="433" priority="509">
      <formula>ISERROR(K294)</formula>
    </cfRule>
  </conditionalFormatting>
  <conditionalFormatting sqref="K293">
    <cfRule type="containsErrors" dxfId="432" priority="508">
      <formula>ISERROR(K293)</formula>
    </cfRule>
  </conditionalFormatting>
  <conditionalFormatting sqref="L293:L306">
    <cfRule type="containsErrors" dxfId="431" priority="507">
      <formula>ISERROR(L293)</formula>
    </cfRule>
  </conditionalFormatting>
  <conditionalFormatting sqref="N319">
    <cfRule type="containsErrors" dxfId="430" priority="506">
      <formula>ISERROR(N319)</formula>
    </cfRule>
  </conditionalFormatting>
  <conditionalFormatting sqref="K333:L333 N320:N333">
    <cfRule type="containsErrors" dxfId="429" priority="505">
      <formula>ISERROR(K320)</formula>
    </cfRule>
  </conditionalFormatting>
  <conditionalFormatting sqref="H88:I88">
    <cfRule type="containsErrors" dxfId="428" priority="474">
      <formula>ISERROR(H88)</formula>
    </cfRule>
  </conditionalFormatting>
  <conditionalFormatting sqref="M320:M332">
    <cfRule type="containsErrors" dxfId="427" priority="500">
      <formula>ISERROR(M320)</formula>
    </cfRule>
  </conditionalFormatting>
  <conditionalFormatting sqref="K320:K332">
    <cfRule type="containsErrors" dxfId="426" priority="499">
      <formula>ISERROR(K320)</formula>
    </cfRule>
  </conditionalFormatting>
  <conditionalFormatting sqref="K319">
    <cfRule type="containsErrors" dxfId="425" priority="498">
      <formula>ISERROR(K319)</formula>
    </cfRule>
  </conditionalFormatting>
  <conditionalFormatting sqref="L319:L332">
    <cfRule type="containsErrors" dxfId="424" priority="497">
      <formula>ISERROR(L319)</formula>
    </cfRule>
  </conditionalFormatting>
  <conditionalFormatting sqref="N345">
    <cfRule type="containsErrors" dxfId="423" priority="496">
      <formula>ISERROR(N345)</formula>
    </cfRule>
  </conditionalFormatting>
  <conditionalFormatting sqref="M102 P106 K103:L103 K104 K105:M105 O105 K106:N106 O100:P103 K100:L100 K101">
    <cfRule type="containsErrors" dxfId="422" priority="469">
      <formula>ISERROR(K100)</formula>
    </cfRule>
  </conditionalFormatting>
  <conditionalFormatting sqref="K102:L102">
    <cfRule type="containsErrors" dxfId="421" priority="468">
      <formula>ISERROR(K102)</formula>
    </cfRule>
  </conditionalFormatting>
  <conditionalFormatting sqref="L104">
    <cfRule type="containsErrors" dxfId="420" priority="467">
      <formula>ISERROR(L104)</formula>
    </cfRule>
  </conditionalFormatting>
  <conditionalFormatting sqref="N106">
    <cfRule type="containsErrors" dxfId="419" priority="466">
      <formula>ISERROR(N106)</formula>
    </cfRule>
  </conditionalFormatting>
  <conditionalFormatting sqref="N105">
    <cfRule type="containsErrors" dxfId="418" priority="465">
      <formula>ISERROR(N105)</formula>
    </cfRule>
  </conditionalFormatting>
  <conditionalFormatting sqref="L101">
    <cfRule type="containsErrors" dxfId="417" priority="463">
      <formula>ISERROR(L101)</formula>
    </cfRule>
  </conditionalFormatting>
  <conditionalFormatting sqref="M101">
    <cfRule type="containsErrors" dxfId="416" priority="462">
      <formula>ISERROR(M101)</formula>
    </cfRule>
  </conditionalFormatting>
  <conditionalFormatting sqref="N102">
    <cfRule type="containsErrors" dxfId="415" priority="461">
      <formula>ISERROR(N102)</formula>
    </cfRule>
  </conditionalFormatting>
  <conditionalFormatting sqref="M100">
    <cfRule type="containsErrors" dxfId="414" priority="460">
      <formula>ISERROR(M100)</formula>
    </cfRule>
  </conditionalFormatting>
  <conditionalFormatting sqref="M128 P132 K129:L129 K130 K131:M131 O131 K132:N132 O126:P129 K126:L126 K127">
    <cfRule type="containsErrors" dxfId="413" priority="459">
      <formula>ISERROR(K126)</formula>
    </cfRule>
  </conditionalFormatting>
  <conditionalFormatting sqref="K128:L128">
    <cfRule type="containsErrors" dxfId="412" priority="458">
      <formula>ISERROR(K128)</formula>
    </cfRule>
  </conditionalFormatting>
  <conditionalFormatting sqref="L130">
    <cfRule type="containsErrors" dxfId="411" priority="457">
      <formula>ISERROR(L130)</formula>
    </cfRule>
  </conditionalFormatting>
  <conditionalFormatting sqref="N132">
    <cfRule type="containsErrors" dxfId="410" priority="456">
      <formula>ISERROR(N132)</formula>
    </cfRule>
  </conditionalFormatting>
  <conditionalFormatting sqref="N131">
    <cfRule type="containsErrors" dxfId="409" priority="455">
      <formula>ISERROR(N131)</formula>
    </cfRule>
  </conditionalFormatting>
  <conditionalFormatting sqref="L127">
    <cfRule type="containsErrors" dxfId="408" priority="453">
      <formula>ISERROR(L127)</formula>
    </cfRule>
  </conditionalFormatting>
  <conditionalFormatting sqref="L127">
    <cfRule type="containsErrors" dxfId="407" priority="454">
      <formula>ISERROR(L127)</formula>
    </cfRule>
  </conditionalFormatting>
  <conditionalFormatting sqref="M127">
    <cfRule type="containsErrors" dxfId="406" priority="452">
      <formula>ISERROR(M127)</formula>
    </cfRule>
  </conditionalFormatting>
  <conditionalFormatting sqref="N128">
    <cfRule type="containsErrors" dxfId="405" priority="451">
      <formula>ISERROR(N128)</formula>
    </cfRule>
  </conditionalFormatting>
  <conditionalFormatting sqref="M126">
    <cfRule type="containsErrors" dxfId="404" priority="450">
      <formula>ISERROR(M126)</formula>
    </cfRule>
  </conditionalFormatting>
  <conditionalFormatting sqref="M154 P158 K155:L155 K156 K157:M157 O157 K158:N158 O152:P155 K152:L152 K153">
    <cfRule type="containsErrors" dxfId="403" priority="449">
      <formula>ISERROR(K152)</formula>
    </cfRule>
  </conditionalFormatting>
  <conditionalFormatting sqref="K154:L154">
    <cfRule type="containsErrors" dxfId="402" priority="448">
      <formula>ISERROR(K154)</formula>
    </cfRule>
  </conditionalFormatting>
  <conditionalFormatting sqref="L156">
    <cfRule type="containsErrors" dxfId="401" priority="447">
      <formula>ISERROR(L156)</formula>
    </cfRule>
  </conditionalFormatting>
  <conditionalFormatting sqref="N158">
    <cfRule type="containsErrors" dxfId="400" priority="446">
      <formula>ISERROR(N158)</formula>
    </cfRule>
  </conditionalFormatting>
  <conditionalFormatting sqref="N157">
    <cfRule type="containsErrors" dxfId="399" priority="445">
      <formula>ISERROR(N157)</formula>
    </cfRule>
  </conditionalFormatting>
  <conditionalFormatting sqref="L153">
    <cfRule type="containsErrors" dxfId="398" priority="443">
      <formula>ISERROR(L153)</formula>
    </cfRule>
  </conditionalFormatting>
  <conditionalFormatting sqref="L153">
    <cfRule type="containsErrors" dxfId="397" priority="444">
      <formula>ISERROR(L153)</formula>
    </cfRule>
  </conditionalFormatting>
  <conditionalFormatting sqref="M153">
    <cfRule type="containsErrors" dxfId="396" priority="442">
      <formula>ISERROR(M153)</formula>
    </cfRule>
  </conditionalFormatting>
  <conditionalFormatting sqref="N154">
    <cfRule type="containsErrors" dxfId="395" priority="441">
      <formula>ISERROR(N154)</formula>
    </cfRule>
  </conditionalFormatting>
  <conditionalFormatting sqref="M152">
    <cfRule type="containsErrors" dxfId="394" priority="440">
      <formula>ISERROR(M152)</formula>
    </cfRule>
  </conditionalFormatting>
  <conditionalFormatting sqref="M180 P184 K181:L181 K182 K183:M183 O183 K184:N184 O178:P181 K178:L178 K179">
    <cfRule type="containsErrors" dxfId="393" priority="439">
      <formula>ISERROR(K178)</formula>
    </cfRule>
  </conditionalFormatting>
  <conditionalFormatting sqref="K180:L180">
    <cfRule type="containsErrors" dxfId="392" priority="438">
      <formula>ISERROR(K180)</formula>
    </cfRule>
  </conditionalFormatting>
  <conditionalFormatting sqref="L182">
    <cfRule type="containsErrors" dxfId="391" priority="437">
      <formula>ISERROR(L182)</formula>
    </cfRule>
  </conditionalFormatting>
  <conditionalFormatting sqref="N184">
    <cfRule type="containsErrors" dxfId="390" priority="436">
      <formula>ISERROR(N184)</formula>
    </cfRule>
  </conditionalFormatting>
  <conditionalFormatting sqref="N183">
    <cfRule type="containsErrors" dxfId="389" priority="435">
      <formula>ISERROR(N183)</formula>
    </cfRule>
  </conditionalFormatting>
  <conditionalFormatting sqref="L179">
    <cfRule type="containsErrors" dxfId="388" priority="433">
      <formula>ISERROR(L179)</formula>
    </cfRule>
  </conditionalFormatting>
  <conditionalFormatting sqref="L179">
    <cfRule type="containsErrors" dxfId="387" priority="434">
      <formula>ISERROR(L179)</formula>
    </cfRule>
  </conditionalFormatting>
  <conditionalFormatting sqref="M179">
    <cfRule type="containsErrors" dxfId="386" priority="432">
      <formula>ISERROR(M179)</formula>
    </cfRule>
  </conditionalFormatting>
  <conditionalFormatting sqref="N180">
    <cfRule type="containsErrors" dxfId="385" priority="431">
      <formula>ISERROR(N180)</formula>
    </cfRule>
  </conditionalFormatting>
  <conditionalFormatting sqref="M178">
    <cfRule type="containsErrors" dxfId="384" priority="430">
      <formula>ISERROR(M178)</formula>
    </cfRule>
  </conditionalFormatting>
  <conditionalFormatting sqref="M206 P210 K207:L207 K208 K209:M209 O209 K210:N210 O204:P207 K204:L204 K205">
    <cfRule type="containsErrors" dxfId="383" priority="429">
      <formula>ISERROR(K204)</formula>
    </cfRule>
  </conditionalFormatting>
  <conditionalFormatting sqref="K206:L206">
    <cfRule type="containsErrors" dxfId="382" priority="428">
      <formula>ISERROR(K206)</formula>
    </cfRule>
  </conditionalFormatting>
  <conditionalFormatting sqref="L208">
    <cfRule type="containsErrors" dxfId="381" priority="427">
      <formula>ISERROR(L208)</formula>
    </cfRule>
  </conditionalFormatting>
  <conditionalFormatting sqref="N210">
    <cfRule type="containsErrors" dxfId="380" priority="426">
      <formula>ISERROR(N210)</formula>
    </cfRule>
  </conditionalFormatting>
  <conditionalFormatting sqref="N209">
    <cfRule type="containsErrors" dxfId="379" priority="425">
      <formula>ISERROR(N209)</formula>
    </cfRule>
  </conditionalFormatting>
  <conditionalFormatting sqref="L205">
    <cfRule type="containsErrors" dxfId="378" priority="423">
      <formula>ISERROR(L205)</formula>
    </cfRule>
  </conditionalFormatting>
  <conditionalFormatting sqref="L205">
    <cfRule type="containsErrors" dxfId="377" priority="424">
      <formula>ISERROR(L205)</formula>
    </cfRule>
  </conditionalFormatting>
  <conditionalFormatting sqref="M205">
    <cfRule type="containsErrors" dxfId="376" priority="422">
      <formula>ISERROR(M205)</formula>
    </cfRule>
  </conditionalFormatting>
  <conditionalFormatting sqref="N206">
    <cfRule type="containsErrors" dxfId="375" priority="421">
      <formula>ISERROR(N206)</formula>
    </cfRule>
  </conditionalFormatting>
  <conditionalFormatting sqref="M204">
    <cfRule type="containsErrors" dxfId="374" priority="420">
      <formula>ISERROR(M204)</formula>
    </cfRule>
  </conditionalFormatting>
  <conditionalFormatting sqref="M232 P236 K233:L233 K234 K235:M235 O235 K236:N236 O230:P233 K230:L230 K231">
    <cfRule type="containsErrors" dxfId="373" priority="419">
      <formula>ISERROR(K230)</formula>
    </cfRule>
  </conditionalFormatting>
  <conditionalFormatting sqref="K232:L232">
    <cfRule type="containsErrors" dxfId="372" priority="418">
      <formula>ISERROR(K232)</formula>
    </cfRule>
  </conditionalFormatting>
  <conditionalFormatting sqref="L234">
    <cfRule type="containsErrors" dxfId="371" priority="417">
      <formula>ISERROR(L234)</formula>
    </cfRule>
  </conditionalFormatting>
  <conditionalFormatting sqref="N236">
    <cfRule type="containsErrors" dxfId="370" priority="416">
      <formula>ISERROR(N236)</formula>
    </cfRule>
  </conditionalFormatting>
  <conditionalFormatting sqref="N235">
    <cfRule type="containsErrors" dxfId="369" priority="415">
      <formula>ISERROR(N235)</formula>
    </cfRule>
  </conditionalFormatting>
  <conditionalFormatting sqref="L231">
    <cfRule type="containsErrors" dxfId="368" priority="413">
      <formula>ISERROR(L231)</formula>
    </cfRule>
  </conditionalFormatting>
  <conditionalFormatting sqref="L231">
    <cfRule type="containsErrors" dxfId="367" priority="414">
      <formula>ISERROR(L231)</formula>
    </cfRule>
  </conditionalFormatting>
  <conditionalFormatting sqref="M231">
    <cfRule type="containsErrors" dxfId="366" priority="412">
      <formula>ISERROR(M231)</formula>
    </cfRule>
  </conditionalFormatting>
  <conditionalFormatting sqref="N232">
    <cfRule type="containsErrors" dxfId="365" priority="411">
      <formula>ISERROR(N232)</formula>
    </cfRule>
  </conditionalFormatting>
  <conditionalFormatting sqref="M230">
    <cfRule type="containsErrors" dxfId="364" priority="410">
      <formula>ISERROR(M230)</formula>
    </cfRule>
  </conditionalFormatting>
  <conditionalFormatting sqref="M258 P262 K259:L259 K260 K261:M261 O261 K262:N262 O256:P259 K256:L256 K257">
    <cfRule type="containsErrors" dxfId="363" priority="409">
      <formula>ISERROR(K256)</formula>
    </cfRule>
  </conditionalFormatting>
  <conditionalFormatting sqref="K258:L258">
    <cfRule type="containsErrors" dxfId="362" priority="408">
      <formula>ISERROR(K258)</formula>
    </cfRule>
  </conditionalFormatting>
  <conditionalFormatting sqref="L260">
    <cfRule type="containsErrors" dxfId="361" priority="407">
      <formula>ISERROR(L260)</formula>
    </cfRule>
  </conditionalFormatting>
  <conditionalFormatting sqref="N262">
    <cfRule type="containsErrors" dxfId="360" priority="406">
      <formula>ISERROR(N262)</formula>
    </cfRule>
  </conditionalFormatting>
  <conditionalFormatting sqref="N261">
    <cfRule type="containsErrors" dxfId="359" priority="405">
      <formula>ISERROR(N261)</formula>
    </cfRule>
  </conditionalFormatting>
  <conditionalFormatting sqref="L257">
    <cfRule type="containsErrors" dxfId="358" priority="403">
      <formula>ISERROR(L257)</formula>
    </cfRule>
  </conditionalFormatting>
  <conditionalFormatting sqref="L257">
    <cfRule type="containsErrors" dxfId="357" priority="404">
      <formula>ISERROR(L257)</formula>
    </cfRule>
  </conditionalFormatting>
  <conditionalFormatting sqref="M257">
    <cfRule type="containsErrors" dxfId="356" priority="402">
      <formula>ISERROR(M257)</formula>
    </cfRule>
  </conditionalFormatting>
  <conditionalFormatting sqref="N258">
    <cfRule type="containsErrors" dxfId="355" priority="401">
      <formula>ISERROR(N258)</formula>
    </cfRule>
  </conditionalFormatting>
  <conditionalFormatting sqref="M256">
    <cfRule type="containsErrors" dxfId="354" priority="400">
      <formula>ISERROR(M256)</formula>
    </cfRule>
  </conditionalFormatting>
  <conditionalFormatting sqref="M284 P288 K285:L285 K286 K287:M287 O287 K288:N288 O282:P285 K282:L282 K283">
    <cfRule type="containsErrors" dxfId="353" priority="399">
      <formula>ISERROR(K282)</formula>
    </cfRule>
  </conditionalFormatting>
  <conditionalFormatting sqref="K284:L284">
    <cfRule type="containsErrors" dxfId="352" priority="398">
      <formula>ISERROR(K284)</formula>
    </cfRule>
  </conditionalFormatting>
  <conditionalFormatting sqref="L286">
    <cfRule type="containsErrors" dxfId="351" priority="397">
      <formula>ISERROR(L286)</formula>
    </cfRule>
  </conditionalFormatting>
  <conditionalFormatting sqref="N288">
    <cfRule type="containsErrors" dxfId="350" priority="396">
      <formula>ISERROR(N288)</formula>
    </cfRule>
  </conditionalFormatting>
  <conditionalFormatting sqref="N287">
    <cfRule type="containsErrors" dxfId="349" priority="395">
      <formula>ISERROR(N287)</formula>
    </cfRule>
  </conditionalFormatting>
  <conditionalFormatting sqref="L283">
    <cfRule type="containsErrors" dxfId="348" priority="393">
      <formula>ISERROR(L283)</formula>
    </cfRule>
  </conditionalFormatting>
  <conditionalFormatting sqref="L283">
    <cfRule type="containsErrors" dxfId="347" priority="394">
      <formula>ISERROR(L283)</formula>
    </cfRule>
  </conditionalFormatting>
  <conditionalFormatting sqref="M283">
    <cfRule type="containsErrors" dxfId="346" priority="392">
      <formula>ISERROR(M283)</formula>
    </cfRule>
  </conditionalFormatting>
  <conditionalFormatting sqref="N284">
    <cfRule type="containsErrors" dxfId="345" priority="391">
      <formula>ISERROR(N284)</formula>
    </cfRule>
  </conditionalFormatting>
  <conditionalFormatting sqref="M282">
    <cfRule type="containsErrors" dxfId="344" priority="390">
      <formula>ISERROR(M282)</formula>
    </cfRule>
  </conditionalFormatting>
  <conditionalFormatting sqref="M310 P314 K311:L311 K312 K313:M313 O313 K314:N314 O308:P311 K308:L308 K309">
    <cfRule type="containsErrors" dxfId="343" priority="389">
      <formula>ISERROR(K308)</formula>
    </cfRule>
  </conditionalFormatting>
  <conditionalFormatting sqref="K310:L310">
    <cfRule type="containsErrors" dxfId="342" priority="388">
      <formula>ISERROR(K310)</formula>
    </cfRule>
  </conditionalFormatting>
  <conditionalFormatting sqref="L312">
    <cfRule type="containsErrors" dxfId="341" priority="387">
      <formula>ISERROR(L312)</formula>
    </cfRule>
  </conditionalFormatting>
  <conditionalFormatting sqref="N314">
    <cfRule type="containsErrors" dxfId="340" priority="386">
      <formula>ISERROR(N314)</formula>
    </cfRule>
  </conditionalFormatting>
  <conditionalFormatting sqref="N313">
    <cfRule type="containsErrors" dxfId="339" priority="385">
      <formula>ISERROR(N313)</formula>
    </cfRule>
  </conditionalFormatting>
  <conditionalFormatting sqref="L309">
    <cfRule type="containsErrors" dxfId="338" priority="383">
      <formula>ISERROR(L309)</formula>
    </cfRule>
  </conditionalFormatting>
  <conditionalFormatting sqref="L309">
    <cfRule type="containsErrors" dxfId="337" priority="384">
      <formula>ISERROR(L309)</formula>
    </cfRule>
  </conditionalFormatting>
  <conditionalFormatting sqref="M309">
    <cfRule type="containsErrors" dxfId="336" priority="382">
      <formula>ISERROR(M309)</formula>
    </cfRule>
  </conditionalFormatting>
  <conditionalFormatting sqref="N310">
    <cfRule type="containsErrors" dxfId="335" priority="381">
      <formula>ISERROR(N310)</formula>
    </cfRule>
  </conditionalFormatting>
  <conditionalFormatting sqref="M308">
    <cfRule type="containsErrors" dxfId="334" priority="380">
      <formula>ISERROR(M308)</formula>
    </cfRule>
  </conditionalFormatting>
  <conditionalFormatting sqref="M336 P340 K337:L337 K338 K339:M339 O339 K340:N340 O334:P337 K334:L334 K335">
    <cfRule type="containsErrors" dxfId="333" priority="379">
      <formula>ISERROR(K334)</formula>
    </cfRule>
  </conditionalFormatting>
  <conditionalFormatting sqref="K336:L336">
    <cfRule type="containsErrors" dxfId="332" priority="378">
      <formula>ISERROR(K336)</formula>
    </cfRule>
  </conditionalFormatting>
  <conditionalFormatting sqref="L338">
    <cfRule type="containsErrors" dxfId="331" priority="377">
      <formula>ISERROR(L338)</formula>
    </cfRule>
  </conditionalFormatting>
  <conditionalFormatting sqref="N340">
    <cfRule type="containsErrors" dxfId="330" priority="376">
      <formula>ISERROR(N340)</formula>
    </cfRule>
  </conditionalFormatting>
  <conditionalFormatting sqref="N339">
    <cfRule type="containsErrors" dxfId="329" priority="375">
      <formula>ISERROR(N339)</formula>
    </cfRule>
  </conditionalFormatting>
  <conditionalFormatting sqref="L335">
    <cfRule type="containsErrors" dxfId="328" priority="373">
      <formula>ISERROR(L335)</formula>
    </cfRule>
  </conditionalFormatting>
  <conditionalFormatting sqref="L335">
    <cfRule type="containsErrors" dxfId="327" priority="374">
      <formula>ISERROR(L335)</formula>
    </cfRule>
  </conditionalFormatting>
  <conditionalFormatting sqref="M335">
    <cfRule type="containsErrors" dxfId="326" priority="372">
      <formula>ISERROR(M335)</formula>
    </cfRule>
  </conditionalFormatting>
  <conditionalFormatting sqref="N336">
    <cfRule type="containsErrors" dxfId="325" priority="371">
      <formula>ISERROR(N336)</formula>
    </cfRule>
  </conditionalFormatting>
  <conditionalFormatting sqref="M334">
    <cfRule type="containsErrors" dxfId="324" priority="370">
      <formula>ISERROR(M334)</formula>
    </cfRule>
  </conditionalFormatting>
  <conditionalFormatting sqref="M362 P366 K363:L363 K364 K365:M365 O365 K366:N366 O360:P363 K360:L360 K361">
    <cfRule type="containsErrors" dxfId="323" priority="369">
      <formula>ISERROR(K360)</formula>
    </cfRule>
  </conditionalFormatting>
  <conditionalFormatting sqref="K362:L362">
    <cfRule type="containsErrors" dxfId="322" priority="368">
      <formula>ISERROR(K362)</formula>
    </cfRule>
  </conditionalFormatting>
  <conditionalFormatting sqref="L364">
    <cfRule type="containsErrors" dxfId="321" priority="367">
      <formula>ISERROR(L364)</formula>
    </cfRule>
  </conditionalFormatting>
  <conditionalFormatting sqref="N366">
    <cfRule type="containsErrors" dxfId="320" priority="366">
      <formula>ISERROR(N366)</formula>
    </cfRule>
  </conditionalFormatting>
  <conditionalFormatting sqref="N365">
    <cfRule type="containsErrors" dxfId="319" priority="365">
      <formula>ISERROR(N365)</formula>
    </cfRule>
  </conditionalFormatting>
  <conditionalFormatting sqref="L361">
    <cfRule type="containsErrors" dxfId="318" priority="363">
      <formula>ISERROR(L361)</formula>
    </cfRule>
  </conditionalFormatting>
  <conditionalFormatting sqref="L361">
    <cfRule type="containsErrors" dxfId="317" priority="364">
      <formula>ISERROR(L361)</formula>
    </cfRule>
  </conditionalFormatting>
  <conditionalFormatting sqref="M361">
    <cfRule type="containsErrors" dxfId="316" priority="362">
      <formula>ISERROR(M361)</formula>
    </cfRule>
  </conditionalFormatting>
  <conditionalFormatting sqref="N362">
    <cfRule type="containsErrors" dxfId="315" priority="361">
      <formula>ISERROR(N362)</formula>
    </cfRule>
  </conditionalFormatting>
  <conditionalFormatting sqref="M360">
    <cfRule type="containsErrors" dxfId="314" priority="360">
      <formula>ISERROR(M360)</formula>
    </cfRule>
  </conditionalFormatting>
  <conditionalFormatting sqref="M388 P392 K389:L389 K390 K391:M391 O391 K392:N392 O386:P389 K386:L386 K387">
    <cfRule type="containsErrors" dxfId="313" priority="359">
      <formula>ISERROR(K386)</formula>
    </cfRule>
  </conditionalFormatting>
  <conditionalFormatting sqref="K388:L388">
    <cfRule type="containsErrors" dxfId="312" priority="358">
      <formula>ISERROR(K388)</formula>
    </cfRule>
  </conditionalFormatting>
  <conditionalFormatting sqref="L390">
    <cfRule type="containsErrors" dxfId="311" priority="357">
      <formula>ISERROR(L390)</formula>
    </cfRule>
  </conditionalFormatting>
  <conditionalFormatting sqref="N392">
    <cfRule type="containsErrors" dxfId="310" priority="356">
      <formula>ISERROR(N392)</formula>
    </cfRule>
  </conditionalFormatting>
  <conditionalFormatting sqref="N391">
    <cfRule type="containsErrors" dxfId="309" priority="355">
      <formula>ISERROR(N391)</formula>
    </cfRule>
  </conditionalFormatting>
  <conditionalFormatting sqref="L387">
    <cfRule type="containsErrors" dxfId="308" priority="353">
      <formula>ISERROR(L387)</formula>
    </cfRule>
  </conditionalFormatting>
  <conditionalFormatting sqref="L387">
    <cfRule type="containsErrors" dxfId="307" priority="354">
      <formula>ISERROR(L387)</formula>
    </cfRule>
  </conditionalFormatting>
  <conditionalFormatting sqref="M387">
    <cfRule type="containsErrors" dxfId="306" priority="352">
      <formula>ISERROR(M387)</formula>
    </cfRule>
  </conditionalFormatting>
  <conditionalFormatting sqref="N388">
    <cfRule type="containsErrors" dxfId="305" priority="351">
      <formula>ISERROR(N388)</formula>
    </cfRule>
  </conditionalFormatting>
  <conditionalFormatting sqref="M386">
    <cfRule type="containsErrors" dxfId="304" priority="350">
      <formula>ISERROR(M386)</formula>
    </cfRule>
  </conditionalFormatting>
  <conditionalFormatting sqref="B102">
    <cfRule type="containsErrors" dxfId="303" priority="349">
      <formula>ISERROR(B102)</formula>
    </cfRule>
  </conditionalFormatting>
  <conditionalFormatting sqref="C102">
    <cfRule type="containsErrors" dxfId="302" priority="348">
      <formula>ISERROR(C102)</formula>
    </cfRule>
  </conditionalFormatting>
  <conditionalFormatting sqref="D102">
    <cfRule type="containsErrors" dxfId="301" priority="347">
      <formula>ISERROR(D102)</formula>
    </cfRule>
  </conditionalFormatting>
  <conditionalFormatting sqref="G102:H102">
    <cfRule type="containsErrors" dxfId="300" priority="344">
      <formula>ISERROR(G102)</formula>
    </cfRule>
  </conditionalFormatting>
  <conditionalFormatting sqref="F102">
    <cfRule type="containsErrors" dxfId="299" priority="343">
      <formula>ISERROR(F102)</formula>
    </cfRule>
  </conditionalFormatting>
  <conditionalFormatting sqref="E102">
    <cfRule type="containsErrors" dxfId="298" priority="341">
      <formula>ISERROR(E102)</formula>
    </cfRule>
  </conditionalFormatting>
  <conditionalFormatting sqref="G88">
    <cfRule type="containsErrors" dxfId="297" priority="340">
      <formula>ISERROR(G88)</formula>
    </cfRule>
  </conditionalFormatting>
  <conditionalFormatting sqref="K112:K124">
    <cfRule type="containsErrors" dxfId="296" priority="290">
      <formula>ISERROR(K112)</formula>
    </cfRule>
  </conditionalFormatting>
  <conditionalFormatting sqref="K111">
    <cfRule type="containsErrors" dxfId="295" priority="289">
      <formula>ISERROR(K111)</formula>
    </cfRule>
  </conditionalFormatting>
  <conditionalFormatting sqref="L111:L124">
    <cfRule type="containsErrors" dxfId="294" priority="288">
      <formula>ISERROR(L111)</formula>
    </cfRule>
  </conditionalFormatting>
  <conditionalFormatting sqref="K151:L151 N138:N151">
    <cfRule type="containsErrors" dxfId="293" priority="282">
      <formula>ISERROR(K138)</formula>
    </cfRule>
  </conditionalFormatting>
  <conditionalFormatting sqref="M137 M151">
    <cfRule type="containsErrors" dxfId="292" priority="281">
      <formula>ISERROR(M137)</formula>
    </cfRule>
  </conditionalFormatting>
  <conditionalFormatting sqref="M138:M150">
    <cfRule type="containsErrors" dxfId="291" priority="280">
      <formula>ISERROR(M138)</formula>
    </cfRule>
  </conditionalFormatting>
  <conditionalFormatting sqref="T138:T150">
    <cfRule type="containsErrors" dxfId="290" priority="274">
      <formula>ISERROR(T138)</formula>
    </cfRule>
  </conditionalFormatting>
  <conditionalFormatting sqref="S138:S150">
    <cfRule type="containsErrors" dxfId="289" priority="273">
      <formula>ISERROR(S138)</formula>
    </cfRule>
  </conditionalFormatting>
  <conditionalFormatting sqref="N163">
    <cfRule type="containsErrors" dxfId="288" priority="272">
      <formula>ISERROR(N163)</formula>
    </cfRule>
  </conditionalFormatting>
  <conditionalFormatting sqref="S87:W98">
    <cfRule type="containsErrors" dxfId="287" priority="295">
      <formula>ISERROR(S87)</formula>
    </cfRule>
  </conditionalFormatting>
  <conditionalFormatting sqref="N111">
    <cfRule type="containsErrors" dxfId="286" priority="294">
      <formula>ISERROR(N111)</formula>
    </cfRule>
  </conditionalFormatting>
  <conditionalFormatting sqref="K125:L125 N112:N125">
    <cfRule type="containsErrors" dxfId="285" priority="293">
      <formula>ISERROR(K112)</formula>
    </cfRule>
  </conditionalFormatting>
  <conditionalFormatting sqref="M111 M125">
    <cfRule type="containsErrors" dxfId="284" priority="292">
      <formula>ISERROR(M111)</formula>
    </cfRule>
  </conditionalFormatting>
  <conditionalFormatting sqref="M112:M124">
    <cfRule type="containsErrors" dxfId="283" priority="291">
      <formula>ISERROR(M112)</formula>
    </cfRule>
  </conditionalFormatting>
  <conditionalFormatting sqref="U112:W124">
    <cfRule type="containsErrors" dxfId="282" priority="286">
      <formula>ISERROR(U112)</formula>
    </cfRule>
  </conditionalFormatting>
  <conditionalFormatting sqref="T112:T124">
    <cfRule type="containsErrors" dxfId="281" priority="285">
      <formula>ISERROR(T112)</formula>
    </cfRule>
  </conditionalFormatting>
  <conditionalFormatting sqref="S112:S124">
    <cfRule type="containsErrors" dxfId="280" priority="284">
      <formula>ISERROR(S112)</formula>
    </cfRule>
  </conditionalFormatting>
  <conditionalFormatting sqref="N137">
    <cfRule type="containsErrors" dxfId="279" priority="283">
      <formula>ISERROR(N137)</formula>
    </cfRule>
  </conditionalFormatting>
  <conditionalFormatting sqref="K138:K150">
    <cfRule type="containsErrors" dxfId="278" priority="279">
      <formula>ISERROR(K138)</formula>
    </cfRule>
  </conditionalFormatting>
  <conditionalFormatting sqref="K137">
    <cfRule type="containsErrors" dxfId="277" priority="278">
      <formula>ISERROR(K137)</formula>
    </cfRule>
  </conditionalFormatting>
  <conditionalFormatting sqref="L137:L150">
    <cfRule type="containsErrors" dxfId="276" priority="277">
      <formula>ISERROR(L137)</formula>
    </cfRule>
  </conditionalFormatting>
  <conditionalFormatting sqref="U138:W150">
    <cfRule type="containsErrors" dxfId="275" priority="275">
      <formula>ISERROR(U138)</formula>
    </cfRule>
  </conditionalFormatting>
  <conditionalFormatting sqref="K177:L177 N164:N177">
    <cfRule type="containsErrors" dxfId="274" priority="271">
      <formula>ISERROR(K164)</formula>
    </cfRule>
  </conditionalFormatting>
  <conditionalFormatting sqref="M163 M177">
    <cfRule type="containsErrors" dxfId="273" priority="270">
      <formula>ISERROR(M163)</formula>
    </cfRule>
  </conditionalFormatting>
  <conditionalFormatting sqref="M164:M176">
    <cfRule type="containsErrors" dxfId="272" priority="269">
      <formula>ISERROR(M164)</formula>
    </cfRule>
  </conditionalFormatting>
  <conditionalFormatting sqref="K164:K176">
    <cfRule type="containsErrors" dxfId="271" priority="268">
      <formula>ISERROR(K164)</formula>
    </cfRule>
  </conditionalFormatting>
  <conditionalFormatting sqref="K163">
    <cfRule type="containsErrors" dxfId="270" priority="267">
      <formula>ISERROR(K163)</formula>
    </cfRule>
  </conditionalFormatting>
  <conditionalFormatting sqref="L163:L176">
    <cfRule type="containsErrors" dxfId="269" priority="266">
      <formula>ISERROR(L163)</formula>
    </cfRule>
  </conditionalFormatting>
  <conditionalFormatting sqref="U164:W176">
    <cfRule type="containsErrors" dxfId="268" priority="264">
      <formula>ISERROR(U164)</formula>
    </cfRule>
  </conditionalFormatting>
  <conditionalFormatting sqref="T164:T176">
    <cfRule type="containsErrors" dxfId="267" priority="263">
      <formula>ISERROR(T164)</formula>
    </cfRule>
  </conditionalFormatting>
  <conditionalFormatting sqref="S164:S176">
    <cfRule type="containsErrors" dxfId="266" priority="262">
      <formula>ISERROR(S164)</formula>
    </cfRule>
  </conditionalFormatting>
  <conditionalFormatting sqref="N189">
    <cfRule type="containsErrors" dxfId="265" priority="261">
      <formula>ISERROR(N189)</formula>
    </cfRule>
  </conditionalFormatting>
  <conditionalFormatting sqref="K203:L203 N190:N203">
    <cfRule type="containsErrors" dxfId="264" priority="260">
      <formula>ISERROR(K190)</formula>
    </cfRule>
  </conditionalFormatting>
  <conditionalFormatting sqref="M189 M203">
    <cfRule type="containsErrors" dxfId="263" priority="259">
      <formula>ISERROR(M189)</formula>
    </cfRule>
  </conditionalFormatting>
  <conditionalFormatting sqref="M190:M202">
    <cfRule type="containsErrors" dxfId="262" priority="258">
      <formula>ISERROR(M190)</formula>
    </cfRule>
  </conditionalFormatting>
  <conditionalFormatting sqref="K190:K202">
    <cfRule type="containsErrors" dxfId="261" priority="257">
      <formula>ISERROR(K190)</formula>
    </cfRule>
  </conditionalFormatting>
  <conditionalFormatting sqref="K189">
    <cfRule type="containsErrors" dxfId="260" priority="256">
      <formula>ISERROR(K189)</formula>
    </cfRule>
  </conditionalFormatting>
  <conditionalFormatting sqref="L189:L202">
    <cfRule type="containsErrors" dxfId="259" priority="255">
      <formula>ISERROR(L189)</formula>
    </cfRule>
  </conditionalFormatting>
  <conditionalFormatting sqref="W190:W202">
    <cfRule type="containsErrors" dxfId="258" priority="253">
      <formula>ISERROR(W190)</formula>
    </cfRule>
  </conditionalFormatting>
  <conditionalFormatting sqref="S190:S202">
    <cfRule type="containsErrors" dxfId="257" priority="251">
      <formula>ISERROR(S190)</formula>
    </cfRule>
  </conditionalFormatting>
  <conditionalFormatting sqref="U190:V202">
    <cfRule type="containsErrors" dxfId="256" priority="250">
      <formula>ISERROR(U190)</formula>
    </cfRule>
  </conditionalFormatting>
  <conditionalFormatting sqref="T190:T202">
    <cfRule type="containsErrors" dxfId="255" priority="249">
      <formula>ISERROR(T190)</formula>
    </cfRule>
  </conditionalFormatting>
  <conditionalFormatting sqref="W216:W228">
    <cfRule type="containsErrors" dxfId="254" priority="247">
      <formula>ISERROR(W216)</formula>
    </cfRule>
  </conditionalFormatting>
  <conditionalFormatting sqref="S216:S228">
    <cfRule type="containsErrors" dxfId="253" priority="246">
      <formula>ISERROR(S216)</formula>
    </cfRule>
  </conditionalFormatting>
  <conditionalFormatting sqref="U216:V228">
    <cfRule type="containsErrors" dxfId="252" priority="245">
      <formula>ISERROR(U216)</formula>
    </cfRule>
  </conditionalFormatting>
  <conditionalFormatting sqref="T216:T228">
    <cfRule type="containsErrors" dxfId="251" priority="244">
      <formula>ISERROR(T216)</formula>
    </cfRule>
  </conditionalFormatting>
  <conditionalFormatting sqref="Q241">
    <cfRule type="containsErrors" dxfId="250" priority="243">
      <formula>ISERROR(Q241)</formula>
    </cfRule>
  </conditionalFormatting>
  <conditionalFormatting sqref="Q242:Q255">
    <cfRule type="containsErrors" dxfId="249" priority="242">
      <formula>ISERROR(Q242)</formula>
    </cfRule>
  </conditionalFormatting>
  <conditionalFormatting sqref="Y294:Y306">
    <cfRule type="containsErrors" dxfId="248" priority="230">
      <formula>ISERROR(Y294)</formula>
    </cfRule>
  </conditionalFormatting>
  <conditionalFormatting sqref="Z268:Z280">
    <cfRule type="containsErrors" dxfId="247" priority="237">
      <formula>ISERROR(Z268)</formula>
    </cfRule>
  </conditionalFormatting>
  <conditionalFormatting sqref="Y268:Y280">
    <cfRule type="containsErrors" dxfId="246" priority="235">
      <formula>ISERROR(Y268)</formula>
    </cfRule>
  </conditionalFormatting>
  <conditionalFormatting sqref="Z294:Z306">
    <cfRule type="containsErrors" dxfId="245" priority="232">
      <formula>ISERROR(Z294)</formula>
    </cfRule>
  </conditionalFormatting>
  <conditionalFormatting sqref="Z320:Z332">
    <cfRule type="containsErrors" dxfId="244" priority="227">
      <formula>ISERROR(Z320)</formula>
    </cfRule>
  </conditionalFormatting>
  <conditionalFormatting sqref="Y320:Y332">
    <cfRule type="containsErrors" dxfId="243" priority="225">
      <formula>ISERROR(Y320)</formula>
    </cfRule>
  </conditionalFormatting>
  <conditionalFormatting sqref="Z346:Z358">
    <cfRule type="containsErrors" dxfId="242" priority="222">
      <formula>ISERROR(Z346)</formula>
    </cfRule>
  </conditionalFormatting>
  <conditionalFormatting sqref="Y346:Y358">
    <cfRule type="containsErrors" dxfId="241" priority="220">
      <formula>ISERROR(Y346)</formula>
    </cfRule>
  </conditionalFormatting>
  <conditionalFormatting sqref="Z372:Z384">
    <cfRule type="containsErrors" dxfId="240" priority="217">
      <formula>ISERROR(Z372)</formula>
    </cfRule>
  </conditionalFormatting>
  <conditionalFormatting sqref="Y372:Y384">
    <cfRule type="containsErrors" dxfId="239" priority="215">
      <formula>ISERROR(Y372)</formula>
    </cfRule>
  </conditionalFormatting>
  <conditionalFormatting sqref="Q217:Q228">
    <cfRule type="containsErrors" dxfId="238" priority="213">
      <formula>ISERROR(Q217)</formula>
    </cfRule>
  </conditionalFormatting>
  <conditionalFormatting sqref="W242:W254">
    <cfRule type="containsErrors" dxfId="237" priority="211">
      <formula>ISERROR(W242)</formula>
    </cfRule>
  </conditionalFormatting>
  <conditionalFormatting sqref="S242:S254">
    <cfRule type="containsErrors" dxfId="236" priority="210">
      <formula>ISERROR(S242)</formula>
    </cfRule>
  </conditionalFormatting>
  <conditionalFormatting sqref="U242:V254">
    <cfRule type="containsErrors" dxfId="235" priority="209">
      <formula>ISERROR(U242)</formula>
    </cfRule>
  </conditionalFormatting>
  <conditionalFormatting sqref="T242:T254">
    <cfRule type="containsErrors" dxfId="234" priority="208">
      <formula>ISERROR(T242)</formula>
    </cfRule>
  </conditionalFormatting>
  <conditionalFormatting sqref="Q243:Q254">
    <cfRule type="containsErrors" dxfId="233" priority="207">
      <formula>ISERROR(Q243)</formula>
    </cfRule>
  </conditionalFormatting>
  <conditionalFormatting sqref="P86:P98">
    <cfRule type="containsErrors" dxfId="232" priority="160">
      <formula>ISERROR(P86)</formula>
    </cfRule>
  </conditionalFormatting>
  <conditionalFormatting sqref="O137 O151">
    <cfRule type="containsErrors" dxfId="231" priority="182">
      <formula>ISERROR(O137)</formula>
    </cfRule>
  </conditionalFormatting>
  <conditionalFormatting sqref="O163 O177">
    <cfRule type="containsErrors" dxfId="230" priority="180">
      <formula>ISERROR(O163)</formula>
    </cfRule>
  </conditionalFormatting>
  <conditionalFormatting sqref="O189 O203">
    <cfRule type="containsErrors" dxfId="229" priority="178">
      <formula>ISERROR(O189)</formula>
    </cfRule>
  </conditionalFormatting>
  <conditionalFormatting sqref="O215 O229">
    <cfRule type="containsErrors" dxfId="228" priority="176">
      <formula>ISERROR(O215)</formula>
    </cfRule>
  </conditionalFormatting>
  <conditionalFormatting sqref="O241 O255">
    <cfRule type="containsErrors" dxfId="227" priority="174">
      <formula>ISERROR(O241)</formula>
    </cfRule>
  </conditionalFormatting>
  <conditionalFormatting sqref="O85 O99">
    <cfRule type="containsErrors" dxfId="226" priority="162">
      <formula>ISERROR(O85)</formula>
    </cfRule>
  </conditionalFormatting>
  <conditionalFormatting sqref="O86:O98">
    <cfRule type="containsErrors" dxfId="225" priority="161">
      <formula>ISERROR(O86)</formula>
    </cfRule>
  </conditionalFormatting>
  <conditionalFormatting sqref="P112:P124">
    <cfRule type="containsErrors" dxfId="224" priority="159">
      <formula>ISERROR(P112)</formula>
    </cfRule>
  </conditionalFormatting>
  <conditionalFormatting sqref="P138:P150">
    <cfRule type="containsErrors" dxfId="223" priority="158">
      <formula>ISERROR(P138)</formula>
    </cfRule>
  </conditionalFormatting>
  <conditionalFormatting sqref="O112:O124">
    <cfRule type="containsErrors" dxfId="222" priority="157">
      <formula>ISERROR(O112)</formula>
    </cfRule>
  </conditionalFormatting>
  <conditionalFormatting sqref="O138">
    <cfRule type="containsErrors" dxfId="221" priority="156">
      <formula>ISERROR(O138)</formula>
    </cfRule>
  </conditionalFormatting>
  <conditionalFormatting sqref="O164">
    <cfRule type="containsErrors" dxfId="220" priority="155">
      <formula>ISERROR(O164)</formula>
    </cfRule>
  </conditionalFormatting>
  <conditionalFormatting sqref="O190">
    <cfRule type="containsErrors" dxfId="219" priority="154">
      <formula>ISERROR(O190)</formula>
    </cfRule>
  </conditionalFormatting>
  <conditionalFormatting sqref="O216">
    <cfRule type="containsErrors" dxfId="218" priority="153">
      <formula>ISERROR(O216)</formula>
    </cfRule>
  </conditionalFormatting>
  <conditionalFormatting sqref="O242">
    <cfRule type="containsErrors" dxfId="217" priority="152">
      <formula>ISERROR(O242)</formula>
    </cfRule>
  </conditionalFormatting>
  <conditionalFormatting sqref="O139:O150">
    <cfRule type="containsErrors" dxfId="216" priority="146">
      <formula>ISERROR(O139)</formula>
    </cfRule>
  </conditionalFormatting>
  <conditionalFormatting sqref="O165:O176">
    <cfRule type="containsErrors" dxfId="215" priority="145">
      <formula>ISERROR(O165)</formula>
    </cfRule>
  </conditionalFormatting>
  <conditionalFormatting sqref="O191:O202">
    <cfRule type="containsErrors" dxfId="214" priority="144">
      <formula>ISERROR(O191)</formula>
    </cfRule>
  </conditionalFormatting>
  <conditionalFormatting sqref="O217:O228">
    <cfRule type="containsErrors" dxfId="213" priority="143">
      <formula>ISERROR(O217)</formula>
    </cfRule>
  </conditionalFormatting>
  <conditionalFormatting sqref="O243:O254">
    <cfRule type="containsErrors" dxfId="212" priority="142">
      <formula>ISERROR(O243)</formula>
    </cfRule>
  </conditionalFormatting>
  <conditionalFormatting sqref="P164:P176">
    <cfRule type="containsErrors" dxfId="211" priority="141">
      <formula>ISERROR(P164)</formula>
    </cfRule>
  </conditionalFormatting>
  <conditionalFormatting sqref="P190:P202">
    <cfRule type="containsErrors" dxfId="210" priority="140">
      <formula>ISERROR(P190)</formula>
    </cfRule>
  </conditionalFormatting>
  <conditionalFormatting sqref="P216:P228">
    <cfRule type="containsErrors" dxfId="209" priority="139">
      <formula>ISERROR(P216)</formula>
    </cfRule>
  </conditionalFormatting>
  <conditionalFormatting sqref="P242:P254">
    <cfRule type="containsErrors" dxfId="208" priority="138">
      <formula>ISERROR(P242)</formula>
    </cfRule>
  </conditionalFormatting>
  <conditionalFormatting sqref="R267:W267 R281:W281 R268">
    <cfRule type="containsErrors" dxfId="207" priority="137">
      <formula>ISERROR(R267)</formula>
    </cfRule>
  </conditionalFormatting>
  <conditionalFormatting sqref="P281">
    <cfRule type="containsErrors" dxfId="206" priority="135">
      <formula>ISERROR(P281)</formula>
    </cfRule>
  </conditionalFormatting>
  <conditionalFormatting sqref="P267">
    <cfRule type="containsErrors" dxfId="205" priority="136">
      <formula>ISERROR(P267)</formula>
    </cfRule>
  </conditionalFormatting>
  <conditionalFormatting sqref="P266">
    <cfRule type="containsErrors" dxfId="204" priority="134">
      <formula>ISERROR(P266)</formula>
    </cfRule>
  </conditionalFormatting>
  <conditionalFormatting sqref="Q267">
    <cfRule type="containsErrors" dxfId="203" priority="133">
      <formula>ISERROR(Q267)</formula>
    </cfRule>
  </conditionalFormatting>
  <conditionalFormatting sqref="Q268:Q281">
    <cfRule type="containsErrors" dxfId="202" priority="132">
      <formula>ISERROR(Q268)</formula>
    </cfRule>
  </conditionalFormatting>
  <conditionalFormatting sqref="W268:W280">
    <cfRule type="containsErrors" dxfId="201" priority="131">
      <formula>ISERROR(W268)</formula>
    </cfRule>
  </conditionalFormatting>
  <conditionalFormatting sqref="S268:S280">
    <cfRule type="containsErrors" dxfId="200" priority="130">
      <formula>ISERROR(S268)</formula>
    </cfRule>
  </conditionalFormatting>
  <conditionalFormatting sqref="U268:V280">
    <cfRule type="containsErrors" dxfId="199" priority="129">
      <formula>ISERROR(U268)</formula>
    </cfRule>
  </conditionalFormatting>
  <conditionalFormatting sqref="T268:T280">
    <cfRule type="containsErrors" dxfId="198" priority="128">
      <formula>ISERROR(T268)</formula>
    </cfRule>
  </conditionalFormatting>
  <conditionalFormatting sqref="Q269:Q280">
    <cfRule type="containsErrors" dxfId="197" priority="127">
      <formula>ISERROR(Q269)</formula>
    </cfRule>
  </conditionalFormatting>
  <conditionalFormatting sqref="O267 O281">
    <cfRule type="containsErrors" dxfId="196" priority="126">
      <formula>ISERROR(O267)</formula>
    </cfRule>
  </conditionalFormatting>
  <conditionalFormatting sqref="O268">
    <cfRule type="containsErrors" dxfId="195" priority="125">
      <formula>ISERROR(O268)</formula>
    </cfRule>
  </conditionalFormatting>
  <conditionalFormatting sqref="O269:O280">
    <cfRule type="containsErrors" dxfId="194" priority="124">
      <formula>ISERROR(O269)</formula>
    </cfRule>
  </conditionalFormatting>
  <conditionalFormatting sqref="P268:P280">
    <cfRule type="containsErrors" dxfId="193" priority="123">
      <formula>ISERROR(P268)</formula>
    </cfRule>
  </conditionalFormatting>
  <conditionalFormatting sqref="R139:R150">
    <cfRule type="containsErrors" dxfId="192" priority="122">
      <formula>ISERROR(R139)</formula>
    </cfRule>
  </conditionalFormatting>
  <conditionalFormatting sqref="R165:R176">
    <cfRule type="containsErrors" dxfId="191" priority="121">
      <formula>ISERROR(R165)</formula>
    </cfRule>
  </conditionalFormatting>
  <conditionalFormatting sqref="R191:R202">
    <cfRule type="containsErrors" dxfId="190" priority="120">
      <formula>ISERROR(R191)</formula>
    </cfRule>
  </conditionalFormatting>
  <conditionalFormatting sqref="R269:R280">
    <cfRule type="containsErrors" dxfId="189" priority="119">
      <formula>ISERROR(R269)</formula>
    </cfRule>
  </conditionalFormatting>
  <conditionalFormatting sqref="R293:W293 R307:W307 R294">
    <cfRule type="containsErrors" dxfId="188" priority="118">
      <formula>ISERROR(R293)</formula>
    </cfRule>
  </conditionalFormatting>
  <conditionalFormatting sqref="P307">
    <cfRule type="containsErrors" dxfId="187" priority="116">
      <formula>ISERROR(P307)</formula>
    </cfRule>
  </conditionalFormatting>
  <conditionalFormatting sqref="P293">
    <cfRule type="containsErrors" dxfId="186" priority="117">
      <formula>ISERROR(P293)</formula>
    </cfRule>
  </conditionalFormatting>
  <conditionalFormatting sqref="P292">
    <cfRule type="containsErrors" dxfId="185" priority="115">
      <formula>ISERROR(P292)</formula>
    </cfRule>
  </conditionalFormatting>
  <conditionalFormatting sqref="Q293">
    <cfRule type="containsErrors" dxfId="184" priority="114">
      <formula>ISERROR(Q293)</formula>
    </cfRule>
  </conditionalFormatting>
  <conditionalFormatting sqref="Q294 Q307">
    <cfRule type="containsErrors" dxfId="183" priority="113">
      <formula>ISERROR(Q294)</formula>
    </cfRule>
  </conditionalFormatting>
  <conditionalFormatting sqref="W294:W306">
    <cfRule type="containsErrors" dxfId="182" priority="112">
      <formula>ISERROR(W294)</formula>
    </cfRule>
  </conditionalFormatting>
  <conditionalFormatting sqref="S294:S306">
    <cfRule type="containsErrors" dxfId="181" priority="111">
      <formula>ISERROR(S294)</formula>
    </cfRule>
  </conditionalFormatting>
  <conditionalFormatting sqref="U294:V306">
    <cfRule type="containsErrors" dxfId="180" priority="110">
      <formula>ISERROR(U294)</formula>
    </cfRule>
  </conditionalFormatting>
  <conditionalFormatting sqref="T294:T306">
    <cfRule type="containsErrors" dxfId="179" priority="109">
      <formula>ISERROR(T294)</formula>
    </cfRule>
  </conditionalFormatting>
  <conditionalFormatting sqref="O293 O307">
    <cfRule type="containsErrors" dxfId="178" priority="107">
      <formula>ISERROR(O293)</formula>
    </cfRule>
  </conditionalFormatting>
  <conditionalFormatting sqref="O294">
    <cfRule type="containsErrors" dxfId="177" priority="106">
      <formula>ISERROR(O294)</formula>
    </cfRule>
  </conditionalFormatting>
  <conditionalFormatting sqref="O295:O306">
    <cfRule type="containsErrors" dxfId="176" priority="105">
      <formula>ISERROR(O295)</formula>
    </cfRule>
  </conditionalFormatting>
  <conditionalFormatting sqref="P294:P306">
    <cfRule type="containsErrors" dxfId="175" priority="104">
      <formula>ISERROR(P294)</formula>
    </cfRule>
  </conditionalFormatting>
  <conditionalFormatting sqref="R295:R306">
    <cfRule type="containsErrors" dxfId="174" priority="103">
      <formula>ISERROR(R295)</formula>
    </cfRule>
  </conditionalFormatting>
  <conditionalFormatting sqref="Q295:Q306">
    <cfRule type="containsErrors" dxfId="173" priority="102">
      <formula>ISERROR(Q295)</formula>
    </cfRule>
  </conditionalFormatting>
  <conditionalFormatting sqref="Q295:Q306">
    <cfRule type="containsErrors" dxfId="172" priority="101">
      <formula>ISERROR(Q295)</formula>
    </cfRule>
  </conditionalFormatting>
  <conditionalFormatting sqref="R319:W319 R333:W333 R320">
    <cfRule type="containsErrors" dxfId="171" priority="100">
      <formula>ISERROR(R319)</formula>
    </cfRule>
  </conditionalFormatting>
  <conditionalFormatting sqref="P333">
    <cfRule type="containsErrors" dxfId="170" priority="98">
      <formula>ISERROR(P333)</formula>
    </cfRule>
  </conditionalFormatting>
  <conditionalFormatting sqref="P319">
    <cfRule type="containsErrors" dxfId="169" priority="99">
      <formula>ISERROR(P319)</formula>
    </cfRule>
  </conditionalFormatting>
  <conditionalFormatting sqref="P318">
    <cfRule type="containsErrors" dxfId="168" priority="97">
      <formula>ISERROR(P318)</formula>
    </cfRule>
  </conditionalFormatting>
  <conditionalFormatting sqref="Q319">
    <cfRule type="containsErrors" dxfId="167" priority="96">
      <formula>ISERROR(Q319)</formula>
    </cfRule>
  </conditionalFormatting>
  <conditionalFormatting sqref="Q320 Q333">
    <cfRule type="containsErrors" dxfId="166" priority="95">
      <formula>ISERROR(Q320)</formula>
    </cfRule>
  </conditionalFormatting>
  <conditionalFormatting sqref="W320:W332">
    <cfRule type="containsErrors" dxfId="165" priority="94">
      <formula>ISERROR(W320)</formula>
    </cfRule>
  </conditionalFormatting>
  <conditionalFormatting sqref="S320:S332">
    <cfRule type="containsErrors" dxfId="164" priority="93">
      <formula>ISERROR(S320)</formula>
    </cfRule>
  </conditionalFormatting>
  <conditionalFormatting sqref="U320:V332">
    <cfRule type="containsErrors" dxfId="163" priority="92">
      <formula>ISERROR(U320)</formula>
    </cfRule>
  </conditionalFormatting>
  <conditionalFormatting sqref="T320:T332">
    <cfRule type="containsErrors" dxfId="162" priority="91">
      <formula>ISERROR(T320)</formula>
    </cfRule>
  </conditionalFormatting>
  <conditionalFormatting sqref="O319 O333">
    <cfRule type="containsErrors" dxfId="161" priority="90">
      <formula>ISERROR(O319)</formula>
    </cfRule>
  </conditionalFormatting>
  <conditionalFormatting sqref="O320">
    <cfRule type="containsErrors" dxfId="160" priority="89">
      <formula>ISERROR(O320)</formula>
    </cfRule>
  </conditionalFormatting>
  <conditionalFormatting sqref="O321:O332">
    <cfRule type="containsErrors" dxfId="159" priority="88">
      <formula>ISERROR(O321)</formula>
    </cfRule>
  </conditionalFormatting>
  <conditionalFormatting sqref="P320:P332">
    <cfRule type="containsErrors" dxfId="158" priority="87">
      <formula>ISERROR(P320)</formula>
    </cfRule>
  </conditionalFormatting>
  <conditionalFormatting sqref="R321:R332">
    <cfRule type="containsErrors" dxfId="157" priority="86">
      <formula>ISERROR(R321)</formula>
    </cfRule>
  </conditionalFormatting>
  <conditionalFormatting sqref="Q321:Q332">
    <cfRule type="containsErrors" dxfId="156" priority="85">
      <formula>ISERROR(Q321)</formula>
    </cfRule>
  </conditionalFormatting>
  <conditionalFormatting sqref="Q321:Q332">
    <cfRule type="containsErrors" dxfId="155" priority="84">
      <formula>ISERROR(Q321)</formula>
    </cfRule>
  </conditionalFormatting>
  <conditionalFormatting sqref="R345:W345 R359:W359 R346">
    <cfRule type="containsErrors" dxfId="154" priority="83">
      <formula>ISERROR(R345)</formula>
    </cfRule>
  </conditionalFormatting>
  <conditionalFormatting sqref="P359">
    <cfRule type="containsErrors" dxfId="153" priority="81">
      <formula>ISERROR(P359)</formula>
    </cfRule>
  </conditionalFormatting>
  <conditionalFormatting sqref="P345">
    <cfRule type="containsErrors" dxfId="152" priority="82">
      <formula>ISERROR(P345)</formula>
    </cfRule>
  </conditionalFormatting>
  <conditionalFormatting sqref="P344">
    <cfRule type="containsErrors" dxfId="151" priority="80">
      <formula>ISERROR(P344)</formula>
    </cfRule>
  </conditionalFormatting>
  <conditionalFormatting sqref="Q345">
    <cfRule type="containsErrors" dxfId="150" priority="79">
      <formula>ISERROR(Q345)</formula>
    </cfRule>
  </conditionalFormatting>
  <conditionalFormatting sqref="Q346 Q359">
    <cfRule type="containsErrors" dxfId="149" priority="78">
      <formula>ISERROR(Q346)</formula>
    </cfRule>
  </conditionalFormatting>
  <conditionalFormatting sqref="W346:W358">
    <cfRule type="containsErrors" dxfId="148" priority="77">
      <formula>ISERROR(W346)</formula>
    </cfRule>
  </conditionalFormatting>
  <conditionalFormatting sqref="S346:S358">
    <cfRule type="containsErrors" dxfId="147" priority="76">
      <formula>ISERROR(S346)</formula>
    </cfRule>
  </conditionalFormatting>
  <conditionalFormatting sqref="U346:V358">
    <cfRule type="containsErrors" dxfId="146" priority="75">
      <formula>ISERROR(U346)</formula>
    </cfRule>
  </conditionalFormatting>
  <conditionalFormatting sqref="T346:T358">
    <cfRule type="containsErrors" dxfId="145" priority="74">
      <formula>ISERROR(T346)</formula>
    </cfRule>
  </conditionalFormatting>
  <conditionalFormatting sqref="O345 O359">
    <cfRule type="containsErrors" dxfId="144" priority="73">
      <formula>ISERROR(O345)</formula>
    </cfRule>
  </conditionalFormatting>
  <conditionalFormatting sqref="O346">
    <cfRule type="containsErrors" dxfId="143" priority="72">
      <formula>ISERROR(O346)</formula>
    </cfRule>
  </conditionalFormatting>
  <conditionalFormatting sqref="O347:O358">
    <cfRule type="containsErrors" dxfId="142" priority="71">
      <formula>ISERROR(O347)</formula>
    </cfRule>
  </conditionalFormatting>
  <conditionalFormatting sqref="P346:P358">
    <cfRule type="containsErrors" dxfId="141" priority="70">
      <formula>ISERROR(P346)</formula>
    </cfRule>
  </conditionalFormatting>
  <conditionalFormatting sqref="R347:R358">
    <cfRule type="containsErrors" dxfId="140" priority="69">
      <formula>ISERROR(R347)</formula>
    </cfRule>
  </conditionalFormatting>
  <conditionalFormatting sqref="Q347:Q358">
    <cfRule type="containsErrors" dxfId="139" priority="68">
      <formula>ISERROR(Q347)</formula>
    </cfRule>
  </conditionalFormatting>
  <conditionalFormatting sqref="Q347:Q358">
    <cfRule type="containsErrors" dxfId="138" priority="67">
      <formula>ISERROR(Q347)</formula>
    </cfRule>
  </conditionalFormatting>
  <conditionalFormatting sqref="R371:W371 R385:W385 R372">
    <cfRule type="containsErrors" dxfId="137" priority="66">
      <formula>ISERROR(R371)</formula>
    </cfRule>
  </conditionalFormatting>
  <conditionalFormatting sqref="P385">
    <cfRule type="containsErrors" dxfId="136" priority="64">
      <formula>ISERROR(P385)</formula>
    </cfRule>
  </conditionalFormatting>
  <conditionalFormatting sqref="P371">
    <cfRule type="containsErrors" dxfId="135" priority="65">
      <formula>ISERROR(P371)</formula>
    </cfRule>
  </conditionalFormatting>
  <conditionalFormatting sqref="P370">
    <cfRule type="containsErrors" dxfId="134" priority="63">
      <formula>ISERROR(P370)</formula>
    </cfRule>
  </conditionalFormatting>
  <conditionalFormatting sqref="Q371">
    <cfRule type="containsErrors" dxfId="133" priority="62">
      <formula>ISERROR(Q371)</formula>
    </cfRule>
  </conditionalFormatting>
  <conditionalFormatting sqref="Q372 Q385">
    <cfRule type="containsErrors" dxfId="132" priority="61">
      <formula>ISERROR(Q372)</formula>
    </cfRule>
  </conditionalFormatting>
  <conditionalFormatting sqref="W372:W384">
    <cfRule type="containsErrors" dxfId="131" priority="60">
      <formula>ISERROR(W372)</formula>
    </cfRule>
  </conditionalFormatting>
  <conditionalFormatting sqref="S372:S384">
    <cfRule type="containsErrors" dxfId="130" priority="59">
      <formula>ISERROR(S372)</formula>
    </cfRule>
  </conditionalFormatting>
  <conditionalFormatting sqref="U372:V384">
    <cfRule type="containsErrors" dxfId="129" priority="58">
      <formula>ISERROR(U372)</formula>
    </cfRule>
  </conditionalFormatting>
  <conditionalFormatting sqref="T372:T384">
    <cfRule type="containsErrors" dxfId="128" priority="57">
      <formula>ISERROR(T372)</formula>
    </cfRule>
  </conditionalFormatting>
  <conditionalFormatting sqref="O371 O385">
    <cfRule type="containsErrors" dxfId="127" priority="56">
      <formula>ISERROR(O371)</formula>
    </cfRule>
  </conditionalFormatting>
  <conditionalFormatting sqref="O372">
    <cfRule type="containsErrors" dxfId="126" priority="55">
      <formula>ISERROR(O372)</formula>
    </cfRule>
  </conditionalFormatting>
  <conditionalFormatting sqref="O373:O384">
    <cfRule type="containsErrors" dxfId="125" priority="54">
      <formula>ISERROR(O373)</formula>
    </cfRule>
  </conditionalFormatting>
  <conditionalFormatting sqref="P372:P384">
    <cfRule type="containsErrors" dxfId="124" priority="53">
      <formula>ISERROR(P372)</formula>
    </cfRule>
  </conditionalFormatting>
  <conditionalFormatting sqref="R373:R384">
    <cfRule type="containsErrors" dxfId="123" priority="52">
      <formula>ISERROR(R373)</formula>
    </cfRule>
  </conditionalFormatting>
  <conditionalFormatting sqref="Q373:Q384">
    <cfRule type="containsErrors" dxfId="122" priority="51">
      <formula>ISERROR(Q373)</formula>
    </cfRule>
  </conditionalFormatting>
  <conditionalFormatting sqref="Q373:Q384">
    <cfRule type="containsErrors" dxfId="121" priority="50">
      <formula>ISERROR(Q373)</formula>
    </cfRule>
  </conditionalFormatting>
  <conditionalFormatting sqref="R87:R98">
    <cfRule type="containsErrors" dxfId="120" priority="49">
      <formula>ISERROR(R87)</formula>
    </cfRule>
  </conditionalFormatting>
  <conditionalFormatting sqref="AK25">
    <cfRule type="containsErrors" dxfId="119" priority="48">
      <formula>ISERROR(AK25)</formula>
    </cfRule>
  </conditionalFormatting>
  <conditionalFormatting sqref="Z25">
    <cfRule type="containsErrors" dxfId="118" priority="47">
      <formula>ISERROR(Z25)</formula>
    </cfRule>
  </conditionalFormatting>
  <conditionalFormatting sqref="Z25">
    <cfRule type="containsErrors" dxfId="117" priority="46">
      <formula>ISERROR(Z25)</formula>
    </cfRule>
  </conditionalFormatting>
  <conditionalFormatting sqref="O25:O26">
    <cfRule type="containsErrors" dxfId="116" priority="45">
      <formula>ISERROR(O25)</formula>
    </cfRule>
  </conditionalFormatting>
  <conditionalFormatting sqref="O25">
    <cfRule type="containsErrors" dxfId="115" priority="44">
      <formula>ISERROR(O25)</formula>
    </cfRule>
  </conditionalFormatting>
  <conditionalFormatting sqref="O25">
    <cfRule type="containsErrors" dxfId="114" priority="43">
      <formula>ISERROR(O25)</formula>
    </cfRule>
  </conditionalFormatting>
  <conditionalFormatting sqref="AV25">
    <cfRule type="containsErrors" dxfId="113" priority="42">
      <formula>ISERROR(AV25)</formula>
    </cfRule>
  </conditionalFormatting>
  <conditionalFormatting sqref="AV25">
    <cfRule type="containsErrors" dxfId="112" priority="41">
      <formula>ISERROR(AV25)</formula>
    </cfRule>
  </conditionalFormatting>
  <conditionalFormatting sqref="Z26">
    <cfRule type="containsErrors" dxfId="111" priority="40">
      <formula>ISERROR(Z26)</formula>
    </cfRule>
  </conditionalFormatting>
  <conditionalFormatting sqref="AK26">
    <cfRule type="containsErrors" dxfId="110" priority="39">
      <formula>ISERROR(AK26)</formula>
    </cfRule>
  </conditionalFormatting>
  <conditionalFormatting sqref="AV26">
    <cfRule type="containsErrors" dxfId="109" priority="38">
      <formula>ISERROR(AV26)</formula>
    </cfRule>
  </conditionalFormatting>
  <conditionalFormatting sqref="BT25:BT26">
    <cfRule type="containsErrors" dxfId="108" priority="37">
      <formula>ISERROR(BT25)</formula>
    </cfRule>
  </conditionalFormatting>
  <conditionalFormatting sqref="BT25">
    <cfRule type="containsErrors" dxfId="107" priority="36">
      <formula>ISERROR(BT25)</formula>
    </cfRule>
  </conditionalFormatting>
  <conditionalFormatting sqref="BT25">
    <cfRule type="containsErrors" dxfId="106" priority="35">
      <formula>ISERROR(BT25)</formula>
    </cfRule>
  </conditionalFormatting>
  <conditionalFormatting sqref="CE25:CE26">
    <cfRule type="containsErrors" dxfId="105" priority="34">
      <formula>ISERROR(CE25)</formula>
    </cfRule>
  </conditionalFormatting>
  <conditionalFormatting sqref="CE25">
    <cfRule type="containsErrors" dxfId="104" priority="33">
      <formula>ISERROR(CE25)</formula>
    </cfRule>
  </conditionalFormatting>
  <conditionalFormatting sqref="CE25">
    <cfRule type="containsErrors" dxfId="103" priority="32">
      <formula>ISERROR(CE25)</formula>
    </cfRule>
  </conditionalFormatting>
  <conditionalFormatting sqref="CP25:CP26">
    <cfRule type="containsErrors" dxfId="102" priority="31">
      <formula>ISERROR(CP25)</formula>
    </cfRule>
  </conditionalFormatting>
  <conditionalFormatting sqref="CP25">
    <cfRule type="containsErrors" dxfId="101" priority="30">
      <formula>ISERROR(CP25)</formula>
    </cfRule>
  </conditionalFormatting>
  <conditionalFormatting sqref="CP25">
    <cfRule type="containsErrors" dxfId="100" priority="29">
      <formula>ISERROR(CP25)</formula>
    </cfRule>
  </conditionalFormatting>
  <conditionalFormatting sqref="DA25:DA26">
    <cfRule type="containsErrors" dxfId="99" priority="28">
      <formula>ISERROR(DA25)</formula>
    </cfRule>
  </conditionalFormatting>
  <conditionalFormatting sqref="DA25">
    <cfRule type="containsErrors" dxfId="98" priority="27">
      <formula>ISERROR(DA25)</formula>
    </cfRule>
  </conditionalFormatting>
  <conditionalFormatting sqref="DA25">
    <cfRule type="containsErrors" dxfId="97" priority="26">
      <formula>ISERROR(DA25)</formula>
    </cfRule>
  </conditionalFormatting>
  <conditionalFormatting sqref="F47">
    <cfRule type="containsErrors" dxfId="96" priority="25">
      <formula>ISERROR(F47)</formula>
    </cfRule>
  </conditionalFormatting>
  <conditionalFormatting sqref="BK47">
    <cfRule type="containsErrors" dxfId="95" priority="24">
      <formula>ISERROR(BK47)</formula>
    </cfRule>
  </conditionalFormatting>
  <conditionalFormatting sqref="BK48">
    <cfRule type="containsErrors" dxfId="94" priority="23">
      <formula>ISERROR(BK48)</formula>
    </cfRule>
  </conditionalFormatting>
  <conditionalFormatting sqref="Z53">
    <cfRule type="containsErrors" dxfId="93" priority="22">
      <formula>ISERROR(Z53)</formula>
    </cfRule>
  </conditionalFormatting>
  <conditionalFormatting sqref="Z52">
    <cfRule type="containsErrors" dxfId="92" priority="21">
      <formula>ISERROR(Z52)</formula>
    </cfRule>
  </conditionalFormatting>
  <conditionalFormatting sqref="Z52">
    <cfRule type="containsErrors" dxfId="91" priority="20">
      <formula>ISERROR(Z52)</formula>
    </cfRule>
  </conditionalFormatting>
  <conditionalFormatting sqref="AK53">
    <cfRule type="containsErrors" dxfId="90" priority="19">
      <formula>ISERROR(AK53)</formula>
    </cfRule>
  </conditionalFormatting>
  <conditionalFormatting sqref="AK52">
    <cfRule type="containsErrors" dxfId="89" priority="18">
      <formula>ISERROR(AK52)</formula>
    </cfRule>
  </conditionalFormatting>
  <conditionalFormatting sqref="AK52">
    <cfRule type="containsErrors" dxfId="88" priority="17">
      <formula>ISERROR(AK52)</formula>
    </cfRule>
  </conditionalFormatting>
  <conditionalFormatting sqref="AV53">
    <cfRule type="containsErrors" dxfId="87" priority="16">
      <formula>ISERROR(AV53)</formula>
    </cfRule>
  </conditionalFormatting>
  <conditionalFormatting sqref="AV52">
    <cfRule type="containsErrors" dxfId="86" priority="15">
      <formula>ISERROR(AV52)</formula>
    </cfRule>
  </conditionalFormatting>
  <conditionalFormatting sqref="AV52">
    <cfRule type="containsErrors" dxfId="85" priority="14">
      <formula>ISERROR(AV52)</formula>
    </cfRule>
  </conditionalFormatting>
  <conditionalFormatting sqref="BI48">
    <cfRule type="containsErrors" dxfId="84" priority="13">
      <formula>ISERROR(BI48)</formula>
    </cfRule>
  </conditionalFormatting>
  <conditionalFormatting sqref="BT52:BT53">
    <cfRule type="containsErrors" dxfId="83" priority="12">
      <formula>ISERROR(BT52)</formula>
    </cfRule>
  </conditionalFormatting>
  <conditionalFormatting sqref="BT52">
    <cfRule type="containsErrors" dxfId="82" priority="11">
      <formula>ISERROR(BT52)</formula>
    </cfRule>
  </conditionalFormatting>
  <conditionalFormatting sqref="BT52">
    <cfRule type="containsErrors" dxfId="81" priority="10">
      <formula>ISERROR(BT52)</formula>
    </cfRule>
  </conditionalFormatting>
  <conditionalFormatting sqref="CE52:CE53">
    <cfRule type="containsErrors" dxfId="80" priority="9">
      <formula>ISERROR(CE52)</formula>
    </cfRule>
  </conditionalFormatting>
  <conditionalFormatting sqref="CE52">
    <cfRule type="containsErrors" dxfId="79" priority="8">
      <formula>ISERROR(CE52)</formula>
    </cfRule>
  </conditionalFormatting>
  <conditionalFormatting sqref="CE52">
    <cfRule type="containsErrors" dxfId="78" priority="7">
      <formula>ISERROR(CE52)</formula>
    </cfRule>
  </conditionalFormatting>
  <conditionalFormatting sqref="CP52:CP53">
    <cfRule type="containsErrors" dxfId="77" priority="6">
      <formula>ISERROR(CP52)</formula>
    </cfRule>
  </conditionalFormatting>
  <conditionalFormatting sqref="CP52">
    <cfRule type="containsErrors" dxfId="76" priority="5">
      <formula>ISERROR(CP52)</formula>
    </cfRule>
  </conditionalFormatting>
  <conditionalFormatting sqref="CP52">
    <cfRule type="containsErrors" dxfId="75" priority="4">
      <formula>ISERROR(CP52)</formula>
    </cfRule>
  </conditionalFormatting>
  <conditionalFormatting sqref="DA52:DA53">
    <cfRule type="containsErrors" dxfId="74" priority="3">
      <formula>ISERROR(DA52)</formula>
    </cfRule>
  </conditionalFormatting>
  <conditionalFormatting sqref="DA52">
    <cfRule type="containsErrors" dxfId="73" priority="2">
      <formula>ISERROR(DA52)</formula>
    </cfRule>
  </conditionalFormatting>
  <conditionalFormatting sqref="DA52">
    <cfRule type="containsErrors" dxfId="72" priority="1">
      <formula>ISERROR(DA52)</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400-000000000000}">
          <x14:formula1>
            <xm:f>Aux!$V$3:$V$45</xm:f>
          </x14:formula1>
          <xm:sqref>C77</xm:sqref>
        </x14:dataValidation>
        <x14:dataValidation type="list" allowBlank="1" showInputMessage="1" showErrorMessage="1" xr:uid="{00000000-0002-0000-0400-000001000000}">
          <x14:formula1>
            <xm:f>Aux!$AS$40:$AT$40</xm:f>
          </x14:formula1>
          <xm:sqref>C82</xm:sqref>
        </x14:dataValidation>
        <x14:dataValidation type="list" allowBlank="1" showInputMessage="1" showErrorMessage="1" xr:uid="{00000000-0002-0000-0400-000002000000}">
          <x14:formula1>
            <xm:f>Aux!$W$57:$AH$57</xm:f>
          </x14:formula1>
          <xm:sqref>L57</xm:sqref>
        </x14:dataValidation>
        <x14:dataValidation type="list" allowBlank="1" showInputMessage="1" showErrorMessage="1" xr:uid="{00000000-0002-0000-0400-000003000000}">
          <x14:formula1>
            <xm:f>Aux!$AR$71:$AR$75</xm:f>
          </x14:formula1>
          <xm:sqref>C83</xm:sqref>
        </x14:dataValidation>
        <x14:dataValidation type="list" allowBlank="1" showInputMessage="1" showErrorMessage="1" xr:uid="{00000000-0002-0000-0400-000004000000}">
          <x14:formula1>
            <xm:f>Aux!$AM$64:$AM$65</xm:f>
          </x14:formula1>
          <xm:sqref>C80</xm:sqref>
        </x14:dataValidation>
        <x14:dataValidation type="list" allowBlank="1" showInputMessage="1" showErrorMessage="1" xr:uid="{00000000-0002-0000-0400-000005000000}">
          <x14:formula1>
            <xm:f>Aux!$AM$58:$AM$61</xm:f>
          </x14:formula1>
          <xm:sqref>C81</xm:sqref>
        </x14:dataValidation>
        <x14:dataValidation type="list" allowBlank="1" showInputMessage="1" showErrorMessage="1" xr:uid="{00000000-0002-0000-0400-000006000000}">
          <x14:formula1>
            <xm:f>Aux!$AM$68:$AM$69</xm:f>
          </x14:formula1>
          <xm:sqref>C78:C79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D113"/>
  <sheetViews>
    <sheetView topLeftCell="Y1" zoomScale="85" zoomScaleNormal="85" workbookViewId="0">
      <selection activeCell="AL23" sqref="AL23"/>
    </sheetView>
  </sheetViews>
  <sheetFormatPr baseColWidth="10" defaultRowHeight="15" x14ac:dyDescent="0.25"/>
  <cols>
    <col min="1" max="1" width="56.28515625" bestFit="1" customWidth="1"/>
    <col min="2" max="2" width="3.85546875" customWidth="1"/>
    <col min="3" max="3" width="22.42578125" customWidth="1"/>
    <col min="4" max="4" width="32" customWidth="1"/>
    <col min="5" max="6" width="13.28515625" style="458" customWidth="1"/>
    <col min="7" max="7" width="26.140625" style="458" bestFit="1" customWidth="1"/>
    <col min="8" max="18" width="13.28515625" customWidth="1"/>
    <col min="19" max="19" width="12.42578125" bestFit="1" customWidth="1"/>
    <col min="20" max="20" width="4.28515625" customWidth="1"/>
    <col min="21" max="21" width="19.7109375" customWidth="1"/>
    <col min="22" max="22" width="31.42578125" bestFit="1" customWidth="1"/>
    <col min="23" max="30" width="11.28515625" customWidth="1"/>
    <col min="31" max="31" width="12.7109375" customWidth="1"/>
    <col min="32" max="32" width="11.28515625" customWidth="1"/>
    <col min="33" max="33" width="12.42578125" customWidth="1"/>
    <col min="34" max="35" width="11.7109375" customWidth="1"/>
    <col min="36" max="36" width="4.28515625" customWidth="1"/>
    <col min="37" max="37" width="17.5703125" customWidth="1"/>
    <col min="38" max="38" width="20.140625" customWidth="1"/>
    <col min="40" max="40" width="19.85546875" customWidth="1"/>
    <col min="41" max="41" width="17" customWidth="1"/>
    <col min="42" max="42" width="22" customWidth="1"/>
    <col min="43" max="43" width="38" customWidth="1"/>
    <col min="52" max="52" width="17.7109375" customWidth="1"/>
  </cols>
  <sheetData>
    <row r="1" spans="1:56" ht="15.75" thickBot="1" x14ac:dyDescent="0.3">
      <c r="A1" s="7" t="s">
        <v>11</v>
      </c>
      <c r="B1" s="2"/>
      <c r="C1" s="678" t="s">
        <v>686</v>
      </c>
      <c r="D1" s="679"/>
      <c r="E1" s="679"/>
      <c r="F1" s="679"/>
      <c r="G1" s="679"/>
      <c r="H1" s="679"/>
      <c r="I1" s="679"/>
      <c r="J1" s="679"/>
      <c r="K1" s="679"/>
      <c r="L1" s="679"/>
      <c r="M1" s="679"/>
      <c r="N1" s="679"/>
      <c r="O1" s="679"/>
      <c r="P1" s="679"/>
      <c r="Q1" s="679"/>
      <c r="R1" s="679"/>
      <c r="S1" s="689"/>
      <c r="V1" s="678" t="s">
        <v>719</v>
      </c>
      <c r="W1" s="679"/>
      <c r="X1" s="679"/>
      <c r="Y1" s="679"/>
      <c r="Z1" s="679"/>
      <c r="AA1" s="679"/>
      <c r="AB1" s="679"/>
      <c r="AC1" s="679"/>
      <c r="AD1" s="679"/>
      <c r="AE1" s="679"/>
      <c r="AF1" s="679"/>
      <c r="AG1" s="679"/>
      <c r="AH1" s="679"/>
      <c r="AI1" s="679"/>
      <c r="AO1" s="678" t="s">
        <v>497</v>
      </c>
      <c r="AP1" s="689"/>
      <c r="AT1" s="690" t="s">
        <v>435</v>
      </c>
      <c r="AU1" s="690"/>
      <c r="AV1" s="690"/>
      <c r="AW1" s="690"/>
      <c r="AX1" s="690"/>
      <c r="AZ1" s="690" t="s">
        <v>436</v>
      </c>
      <c r="BA1" s="690"/>
      <c r="BB1" s="690"/>
      <c r="BC1" s="690"/>
      <c r="BD1" s="690"/>
    </row>
    <row r="2" spans="1:56" ht="15.75" thickBot="1" x14ac:dyDescent="0.3">
      <c r="A2" s="463" t="s">
        <v>678</v>
      </c>
      <c r="B2" s="2"/>
      <c r="C2" s="454" t="s">
        <v>677</v>
      </c>
      <c r="D2" s="455" t="s">
        <v>1</v>
      </c>
      <c r="E2" s="461" t="s">
        <v>132</v>
      </c>
      <c r="F2" s="461"/>
      <c r="G2" s="472" t="s">
        <v>730</v>
      </c>
      <c r="H2" s="455" t="s">
        <v>138</v>
      </c>
      <c r="I2" s="455" t="s">
        <v>139</v>
      </c>
      <c r="J2" s="455" t="s">
        <v>140</v>
      </c>
      <c r="K2" s="455" t="s">
        <v>141</v>
      </c>
      <c r="L2" s="455" t="s">
        <v>142</v>
      </c>
      <c r="M2" s="455" t="s">
        <v>143</v>
      </c>
      <c r="N2" s="455" t="s">
        <v>132</v>
      </c>
      <c r="O2" s="455" t="s">
        <v>133</v>
      </c>
      <c r="P2" s="455" t="s">
        <v>134</v>
      </c>
      <c r="Q2" s="455" t="s">
        <v>135</v>
      </c>
      <c r="R2" s="455" t="s">
        <v>136</v>
      </c>
      <c r="S2" s="456" t="s">
        <v>137</v>
      </c>
      <c r="T2" s="2"/>
      <c r="U2" s="454"/>
      <c r="V2" s="455" t="s">
        <v>730</v>
      </c>
      <c r="W2" s="472" t="s">
        <v>138</v>
      </c>
      <c r="X2" s="472" t="s">
        <v>139</v>
      </c>
      <c r="Y2" s="472" t="s">
        <v>140</v>
      </c>
      <c r="Z2" s="472" t="s">
        <v>141</v>
      </c>
      <c r="AA2" s="472" t="s">
        <v>142</v>
      </c>
      <c r="AB2" s="472" t="s">
        <v>143</v>
      </c>
      <c r="AC2" s="472" t="s">
        <v>132</v>
      </c>
      <c r="AD2" s="472" t="s">
        <v>133</v>
      </c>
      <c r="AE2" s="472" t="s">
        <v>134</v>
      </c>
      <c r="AF2" s="472" t="s">
        <v>135</v>
      </c>
      <c r="AG2" s="472" t="s">
        <v>136</v>
      </c>
      <c r="AH2" s="473" t="s">
        <v>137</v>
      </c>
      <c r="AI2" s="479" t="s">
        <v>718</v>
      </c>
      <c r="AK2" s="7" t="s">
        <v>12</v>
      </c>
      <c r="AM2" s="7" t="s">
        <v>810</v>
      </c>
      <c r="AO2" t="s">
        <v>129</v>
      </c>
      <c r="AP2" t="s">
        <v>155</v>
      </c>
      <c r="AT2" t="s">
        <v>431</v>
      </c>
      <c r="AU2" s="227" t="s">
        <v>432</v>
      </c>
      <c r="AV2" s="227" t="s">
        <v>438</v>
      </c>
      <c r="AW2" s="227" t="s">
        <v>433</v>
      </c>
      <c r="AX2" s="227" t="s">
        <v>434</v>
      </c>
      <c r="AZ2" t="s">
        <v>431</v>
      </c>
      <c r="BA2" s="13" t="s">
        <v>432</v>
      </c>
      <c r="BB2" s="227" t="s">
        <v>438</v>
      </c>
      <c r="BC2" s="13" t="s">
        <v>433</v>
      </c>
      <c r="BD2" s="13" t="s">
        <v>434</v>
      </c>
    </row>
    <row r="3" spans="1:56" ht="15" customHeight="1" thickBot="1" x14ac:dyDescent="0.3">
      <c r="A3" s="464" t="s">
        <v>676</v>
      </c>
      <c r="B3" s="3"/>
      <c r="C3" s="684" t="s">
        <v>674</v>
      </c>
      <c r="D3" s="453" t="s">
        <v>676</v>
      </c>
      <c r="E3" s="457">
        <v>13.6</v>
      </c>
      <c r="F3" s="457"/>
      <c r="G3" s="526" t="s">
        <v>676</v>
      </c>
      <c r="H3" s="453"/>
      <c r="I3" s="453"/>
      <c r="J3" s="453"/>
      <c r="K3" s="453"/>
      <c r="L3" s="453"/>
      <c r="M3" s="453"/>
      <c r="N3" s="453"/>
      <c r="O3" s="453"/>
      <c r="P3" s="453"/>
      <c r="Q3" s="453"/>
      <c r="R3" s="453"/>
      <c r="S3" s="452"/>
      <c r="U3" s="475"/>
      <c r="V3" s="453" t="s">
        <v>676</v>
      </c>
      <c r="W3" s="480">
        <v>22</v>
      </c>
      <c r="X3" s="480">
        <v>22.3</v>
      </c>
      <c r="Y3" s="480">
        <v>21.4</v>
      </c>
      <c r="Z3" s="480">
        <v>19.5</v>
      </c>
      <c r="AA3" s="480">
        <v>17.600000000000001</v>
      </c>
      <c r="AB3" s="480">
        <v>16.399999999999999</v>
      </c>
      <c r="AC3" s="480">
        <v>15.6</v>
      </c>
      <c r="AD3" s="480">
        <v>15.7</v>
      </c>
      <c r="AE3" s="480">
        <v>16.3</v>
      </c>
      <c r="AF3" s="480">
        <v>17.5</v>
      </c>
      <c r="AG3" s="480">
        <v>19.100000000000001</v>
      </c>
      <c r="AH3" s="480">
        <v>20.6</v>
      </c>
      <c r="AI3" s="480">
        <v>18.7</v>
      </c>
      <c r="AK3" s="10">
        <v>19</v>
      </c>
      <c r="AM3" t="s">
        <v>60</v>
      </c>
      <c r="AO3" s="24">
        <v>1</v>
      </c>
      <c r="AP3">
        <v>0.65</v>
      </c>
      <c r="AT3">
        <v>0</v>
      </c>
      <c r="AU3" s="226">
        <v>0</v>
      </c>
      <c r="AV3" s="13">
        <v>0</v>
      </c>
      <c r="AW3" s="13">
        <v>0</v>
      </c>
      <c r="AX3" s="13">
        <v>0</v>
      </c>
      <c r="AZ3">
        <v>0</v>
      </c>
      <c r="BA3" s="13">
        <v>0</v>
      </c>
      <c r="BB3" s="13">
        <v>0</v>
      </c>
      <c r="BC3" s="13">
        <v>0</v>
      </c>
      <c r="BD3" s="13">
        <v>0</v>
      </c>
    </row>
    <row r="4" spans="1:56" ht="15.75" thickBot="1" x14ac:dyDescent="0.3">
      <c r="A4" s="465" t="s">
        <v>675</v>
      </c>
      <c r="B4" s="3"/>
      <c r="C4" s="683"/>
      <c r="D4" t="s">
        <v>675</v>
      </c>
      <c r="E4" s="458">
        <v>13.6</v>
      </c>
      <c r="G4" t="s">
        <v>673</v>
      </c>
      <c r="S4" s="106"/>
      <c r="U4" s="476"/>
      <c r="V4" t="s">
        <v>673</v>
      </c>
      <c r="W4" s="480">
        <v>21.1</v>
      </c>
      <c r="X4" s="480">
        <v>21.1</v>
      </c>
      <c r="Y4" s="480">
        <v>20.100000000000001</v>
      </c>
      <c r="Z4" s="480">
        <v>18.3</v>
      </c>
      <c r="AA4" s="480">
        <v>16.899999999999999</v>
      </c>
      <c r="AB4" s="480">
        <v>15.9</v>
      </c>
      <c r="AC4" s="480">
        <v>15.2</v>
      </c>
      <c r="AD4" s="480">
        <v>15.3</v>
      </c>
      <c r="AE4" s="480">
        <v>15.9</v>
      </c>
      <c r="AF4" s="480">
        <v>16.899999999999999</v>
      </c>
      <c r="AG4" s="480">
        <v>18.399999999999999</v>
      </c>
      <c r="AH4" s="480">
        <v>20</v>
      </c>
      <c r="AI4" s="480">
        <v>18</v>
      </c>
      <c r="AO4" s="24">
        <v>2</v>
      </c>
      <c r="AP4">
        <v>0.75</v>
      </c>
      <c r="AT4">
        <v>5</v>
      </c>
      <c r="AU4" s="226">
        <v>0.105</v>
      </c>
      <c r="AV4" s="13">
        <v>0.17</v>
      </c>
      <c r="AW4" s="13">
        <v>0.2</v>
      </c>
      <c r="AX4" s="13">
        <v>0.2</v>
      </c>
      <c r="AZ4">
        <v>5</v>
      </c>
      <c r="BA4" s="13">
        <v>0.1</v>
      </c>
      <c r="BB4" s="13">
        <v>0.16</v>
      </c>
      <c r="BC4" s="13">
        <v>0.17</v>
      </c>
      <c r="BD4" s="13">
        <v>0.19</v>
      </c>
    </row>
    <row r="5" spans="1:56" x14ac:dyDescent="0.25">
      <c r="A5" s="466" t="s">
        <v>10</v>
      </c>
      <c r="B5" s="3"/>
      <c r="C5" s="682" t="s">
        <v>671</v>
      </c>
      <c r="D5" s="3" t="s">
        <v>673</v>
      </c>
      <c r="E5" s="458">
        <v>12.4</v>
      </c>
      <c r="G5" s="482" t="s">
        <v>691</v>
      </c>
      <c r="S5" s="106"/>
      <c r="U5" s="477"/>
      <c r="V5" s="3" t="s">
        <v>691</v>
      </c>
      <c r="W5" s="480">
        <v>15.1</v>
      </c>
      <c r="X5" s="480">
        <v>14.9</v>
      </c>
      <c r="Y5" s="480">
        <v>13.9</v>
      </c>
      <c r="Z5" s="480">
        <v>12.1</v>
      </c>
      <c r="AA5" s="480">
        <v>10.3</v>
      </c>
      <c r="AB5" s="480">
        <v>8.6999999999999993</v>
      </c>
      <c r="AC5" s="480">
        <v>8.6</v>
      </c>
      <c r="AD5" s="480">
        <v>9.4</v>
      </c>
      <c r="AE5" s="480">
        <v>11.2</v>
      </c>
      <c r="AF5" s="480">
        <v>12.7</v>
      </c>
      <c r="AG5" s="480">
        <v>14.1</v>
      </c>
      <c r="AH5" s="480">
        <v>14.8</v>
      </c>
      <c r="AI5" s="480">
        <v>12.1</v>
      </c>
      <c r="AK5" s="7"/>
      <c r="AM5" s="7" t="s">
        <v>480</v>
      </c>
      <c r="AO5" s="24">
        <v>3</v>
      </c>
      <c r="AP5">
        <v>0.8</v>
      </c>
      <c r="AT5">
        <v>10</v>
      </c>
      <c r="AU5" s="13">
        <v>0.14000000000000001</v>
      </c>
      <c r="AV5" s="13">
        <v>0.28000000000000003</v>
      </c>
      <c r="AW5" s="13">
        <v>0.32</v>
      </c>
      <c r="AX5" s="13">
        <v>0.38</v>
      </c>
      <c r="AZ5">
        <v>10</v>
      </c>
      <c r="BA5" s="13">
        <v>0.13</v>
      </c>
      <c r="BB5" s="13">
        <v>0.23</v>
      </c>
      <c r="BC5" s="13">
        <v>0.26</v>
      </c>
      <c r="BD5" s="13">
        <v>0.28999999999999998</v>
      </c>
    </row>
    <row r="6" spans="1:56" ht="15.75" thickBot="1" x14ac:dyDescent="0.3">
      <c r="A6" s="467" t="s">
        <v>679</v>
      </c>
      <c r="B6" s="6"/>
      <c r="C6" s="682"/>
      <c r="D6" s="3" t="s">
        <v>672</v>
      </c>
      <c r="E6" s="458">
        <v>12.4</v>
      </c>
      <c r="G6" s="3" t="s">
        <v>668</v>
      </c>
      <c r="S6" s="106"/>
      <c r="U6" s="477"/>
      <c r="V6" s="3" t="s">
        <v>668</v>
      </c>
      <c r="W6" s="480">
        <v>20</v>
      </c>
      <c r="X6" s="480">
        <v>19.899999999999999</v>
      </c>
      <c r="Y6" s="480">
        <v>18.7</v>
      </c>
      <c r="Z6" s="480">
        <v>16.8</v>
      </c>
      <c r="AA6" s="480">
        <v>15.2</v>
      </c>
      <c r="AB6" s="480">
        <v>14</v>
      </c>
      <c r="AC6" s="480">
        <v>13.4</v>
      </c>
      <c r="AD6" s="480">
        <v>13.7</v>
      </c>
      <c r="AE6" s="480">
        <v>14.3</v>
      </c>
      <c r="AF6" s="480">
        <v>15.5</v>
      </c>
      <c r="AG6" s="480">
        <v>16.899999999999999</v>
      </c>
      <c r="AH6" s="480">
        <v>18.7</v>
      </c>
      <c r="AI6" s="480">
        <v>16.399999999999999</v>
      </c>
      <c r="AK6" s="11" t="s">
        <v>183</v>
      </c>
      <c r="AM6" s="302">
        <v>200000</v>
      </c>
      <c r="AT6">
        <v>15</v>
      </c>
      <c r="AU6" s="226">
        <v>0.155</v>
      </c>
      <c r="AV6" s="13">
        <v>0.35</v>
      </c>
      <c r="AW6" s="13">
        <v>0.43</v>
      </c>
      <c r="AX6" s="13">
        <v>0.51</v>
      </c>
      <c r="AZ6">
        <v>15</v>
      </c>
      <c r="BA6" s="13">
        <v>0.13</v>
      </c>
      <c r="BB6" s="13">
        <v>0.25</v>
      </c>
      <c r="BC6" s="13">
        <v>0.28999999999999998</v>
      </c>
      <c r="BD6" s="13">
        <v>0.32</v>
      </c>
    </row>
    <row r="7" spans="1:56" x14ac:dyDescent="0.25">
      <c r="A7" s="466" t="s">
        <v>673</v>
      </c>
      <c r="B7" s="4"/>
      <c r="C7" s="682" t="s">
        <v>669</v>
      </c>
      <c r="D7" t="s">
        <v>668</v>
      </c>
      <c r="E7" s="458">
        <v>10.3</v>
      </c>
      <c r="G7" s="527" t="s">
        <v>692</v>
      </c>
      <c r="S7" s="106"/>
      <c r="U7" s="477"/>
      <c r="V7" t="s">
        <v>692</v>
      </c>
      <c r="W7" s="480">
        <v>23.3</v>
      </c>
      <c r="X7" s="480">
        <v>23.6</v>
      </c>
      <c r="Y7" s="480">
        <v>23.1</v>
      </c>
      <c r="Z7" s="480">
        <v>21.8</v>
      </c>
      <c r="AA7" s="480">
        <v>20.2</v>
      </c>
      <c r="AB7" s="480">
        <v>18.8</v>
      </c>
      <c r="AC7" s="480">
        <v>18.2</v>
      </c>
      <c r="AD7" s="480">
        <v>18</v>
      </c>
      <c r="AE7" s="480">
        <v>18.3</v>
      </c>
      <c r="AF7" s="480">
        <v>19.100000000000001</v>
      </c>
      <c r="AG7" s="480">
        <v>20.399999999999999</v>
      </c>
      <c r="AH7" s="480">
        <v>21.8</v>
      </c>
      <c r="AI7" s="480">
        <v>20.5</v>
      </c>
      <c r="AK7" s="11" t="s">
        <v>182</v>
      </c>
      <c r="AP7" s="7" t="s">
        <v>422</v>
      </c>
      <c r="AQ7" s="7" t="s">
        <v>445</v>
      </c>
      <c r="AT7">
        <v>20</v>
      </c>
      <c r="AU7" s="226">
        <v>0.16500000000000001</v>
      </c>
      <c r="AV7" s="13">
        <v>0.37</v>
      </c>
      <c r="AW7" s="13">
        <v>0.46</v>
      </c>
      <c r="AX7" s="13">
        <v>0.55000000000000004</v>
      </c>
      <c r="AZ7">
        <v>20</v>
      </c>
      <c r="BA7" s="13">
        <v>0.14000000000000001</v>
      </c>
      <c r="BB7" s="13">
        <v>0.25</v>
      </c>
      <c r="BC7" s="13">
        <v>0.28999999999999998</v>
      </c>
      <c r="BD7" s="13">
        <v>0.33</v>
      </c>
    </row>
    <row r="8" spans="1:56" x14ac:dyDescent="0.25">
      <c r="A8" s="465" t="s">
        <v>672</v>
      </c>
      <c r="B8" s="3"/>
      <c r="C8" s="682"/>
      <c r="D8" t="s">
        <v>670</v>
      </c>
      <c r="E8" s="458">
        <v>0.4</v>
      </c>
      <c r="G8" t="s">
        <v>664</v>
      </c>
      <c r="S8" s="106"/>
      <c r="U8" s="477"/>
      <c r="V8" t="s">
        <v>664</v>
      </c>
      <c r="W8" s="480">
        <v>19.600000000000001</v>
      </c>
      <c r="X8" s="480">
        <v>19.399999999999999</v>
      </c>
      <c r="Y8" s="480">
        <v>17.899999999999999</v>
      </c>
      <c r="Z8" s="480">
        <v>15.4</v>
      </c>
      <c r="AA8" s="480">
        <v>13.2</v>
      </c>
      <c r="AB8" s="480">
        <v>11.4</v>
      </c>
      <c r="AC8" s="480">
        <v>11.3</v>
      </c>
      <c r="AD8" s="480">
        <v>12</v>
      </c>
      <c r="AE8" s="480">
        <v>13.2</v>
      </c>
      <c r="AF8" s="480">
        <v>14.8</v>
      </c>
      <c r="AG8" s="480">
        <v>16.399999999999999</v>
      </c>
      <c r="AH8" s="480">
        <v>18.3</v>
      </c>
      <c r="AI8" s="480">
        <v>15.2</v>
      </c>
      <c r="AK8" s="13"/>
      <c r="AP8" s="8" t="s">
        <v>418</v>
      </c>
      <c r="AQ8" s="8" t="s">
        <v>461</v>
      </c>
      <c r="AR8">
        <v>1</v>
      </c>
      <c r="AT8">
        <v>25</v>
      </c>
      <c r="AU8" s="226">
        <v>0.16500000000000001</v>
      </c>
      <c r="AV8" s="13">
        <v>0.37</v>
      </c>
      <c r="AW8" s="13">
        <v>0.46</v>
      </c>
      <c r="AX8" s="13">
        <v>0.55000000000000004</v>
      </c>
      <c r="AZ8">
        <v>30</v>
      </c>
      <c r="BA8" s="13">
        <v>0.14000000000000001</v>
      </c>
      <c r="BB8" s="13">
        <v>0.26</v>
      </c>
      <c r="BC8" s="13">
        <v>0.31</v>
      </c>
      <c r="BD8" s="13">
        <v>0.35</v>
      </c>
    </row>
    <row r="9" spans="1:56" ht="15.75" thickBot="1" x14ac:dyDescent="0.3">
      <c r="A9" s="466" t="s">
        <v>10</v>
      </c>
      <c r="B9" s="3"/>
      <c r="C9" s="682"/>
      <c r="D9" t="s">
        <v>667</v>
      </c>
      <c r="E9" s="458">
        <v>10.6</v>
      </c>
      <c r="G9" s="527" t="s">
        <v>693</v>
      </c>
      <c r="S9" s="106"/>
      <c r="U9" s="477"/>
      <c r="V9" t="s">
        <v>693</v>
      </c>
      <c r="W9" s="480">
        <v>18.600000000000001</v>
      </c>
      <c r="X9" s="480">
        <v>18.600000000000001</v>
      </c>
      <c r="Y9" s="480">
        <v>17.100000000000001</v>
      </c>
      <c r="Z9" s="480">
        <v>14.9</v>
      </c>
      <c r="AA9" s="480">
        <v>13.1</v>
      </c>
      <c r="AB9" s="480">
        <v>11.7</v>
      </c>
      <c r="AC9" s="480">
        <v>11.4</v>
      </c>
      <c r="AD9" s="480">
        <v>12.2</v>
      </c>
      <c r="AE9" s="480">
        <v>13</v>
      </c>
      <c r="AF9" s="480">
        <v>14.5</v>
      </c>
      <c r="AG9" s="480">
        <v>15.6</v>
      </c>
      <c r="AH9" s="480">
        <v>17.5</v>
      </c>
      <c r="AI9" s="480">
        <v>14.9</v>
      </c>
      <c r="AK9" s="687" t="s">
        <v>101</v>
      </c>
      <c r="AL9" s="688"/>
      <c r="AM9" s="688"/>
      <c r="AP9" s="8" t="s">
        <v>417</v>
      </c>
      <c r="AQ9" s="8" t="s">
        <v>460</v>
      </c>
      <c r="AR9">
        <v>2</v>
      </c>
      <c r="AT9">
        <v>30</v>
      </c>
      <c r="AU9" s="226">
        <v>0.16500000000000001</v>
      </c>
      <c r="AV9" s="13">
        <v>0.37</v>
      </c>
      <c r="AW9" s="13">
        <v>0.46</v>
      </c>
      <c r="AX9" s="13">
        <v>0.55000000000000004</v>
      </c>
      <c r="AZ9">
        <v>40</v>
      </c>
      <c r="BA9" s="13">
        <v>0.14000000000000001</v>
      </c>
      <c r="BB9" s="13">
        <v>0.27</v>
      </c>
      <c r="BC9" s="13">
        <v>0.32</v>
      </c>
      <c r="BD9" s="13">
        <v>0.36</v>
      </c>
    </row>
    <row r="10" spans="1:56" x14ac:dyDescent="0.25">
      <c r="A10" s="467" t="s">
        <v>680</v>
      </c>
      <c r="B10" s="3"/>
      <c r="C10" s="682" t="s">
        <v>666</v>
      </c>
      <c r="D10" t="s">
        <v>665</v>
      </c>
      <c r="E10" s="458">
        <v>7.8</v>
      </c>
      <c r="G10" t="s">
        <v>694</v>
      </c>
      <c r="S10" s="106"/>
      <c r="U10" s="477"/>
      <c r="V10" t="s">
        <v>694</v>
      </c>
      <c r="W10" s="480">
        <v>17.100000000000001</v>
      </c>
      <c r="X10" s="480">
        <v>16.899999999999999</v>
      </c>
      <c r="Y10" s="480">
        <v>15.6</v>
      </c>
      <c r="Z10" s="480">
        <v>13.7</v>
      </c>
      <c r="AA10" s="480">
        <v>12.3</v>
      </c>
      <c r="AB10" s="480">
        <v>10.9</v>
      </c>
      <c r="AC10" s="480">
        <v>10.7</v>
      </c>
      <c r="AD10" s="480">
        <v>10.9</v>
      </c>
      <c r="AE10" s="480">
        <v>11.6</v>
      </c>
      <c r="AF10" s="480">
        <v>12.9</v>
      </c>
      <c r="AG10" s="480">
        <v>14.3</v>
      </c>
      <c r="AH10" s="480">
        <v>16.100000000000001</v>
      </c>
      <c r="AI10" s="480">
        <v>13.6</v>
      </c>
      <c r="AK10" s="7" t="s">
        <v>13</v>
      </c>
      <c r="AL10" s="7" t="s">
        <v>25</v>
      </c>
      <c r="AM10" s="7"/>
      <c r="AP10" s="8" t="s">
        <v>471</v>
      </c>
      <c r="AQ10" s="8" t="s">
        <v>470</v>
      </c>
      <c r="AR10">
        <v>3</v>
      </c>
      <c r="AT10">
        <v>35</v>
      </c>
      <c r="AU10" s="226">
        <v>0.16500000000000001</v>
      </c>
      <c r="AV10" s="13">
        <v>0.37</v>
      </c>
      <c r="AW10" s="13">
        <v>0.46</v>
      </c>
      <c r="AX10" s="13">
        <v>0.55000000000000004</v>
      </c>
      <c r="AZ10">
        <v>50</v>
      </c>
      <c r="BA10" s="13">
        <v>0.14000000000000001</v>
      </c>
      <c r="BB10" s="13">
        <v>0.28000000000000003</v>
      </c>
      <c r="BC10" s="13">
        <v>0.33</v>
      </c>
      <c r="BD10" s="13">
        <v>0.37</v>
      </c>
    </row>
    <row r="11" spans="1:56" x14ac:dyDescent="0.25">
      <c r="A11" s="466" t="s">
        <v>668</v>
      </c>
      <c r="B11" s="3"/>
      <c r="C11" s="682"/>
      <c r="D11" t="s">
        <v>664</v>
      </c>
      <c r="E11" s="458">
        <v>7.8</v>
      </c>
      <c r="G11" s="482" t="s">
        <v>722</v>
      </c>
      <c r="S11" s="106"/>
      <c r="U11" s="477"/>
      <c r="V11" s="3" t="s">
        <v>722</v>
      </c>
      <c r="W11" s="480">
        <v>18.5</v>
      </c>
      <c r="X11" s="480">
        <v>19.5</v>
      </c>
      <c r="Y11" s="480">
        <v>17.899999999999999</v>
      </c>
      <c r="Z11" s="480">
        <v>14.8</v>
      </c>
      <c r="AA11" s="480">
        <v>11.9</v>
      </c>
      <c r="AB11" s="480">
        <v>11</v>
      </c>
      <c r="AC11" s="480">
        <v>10.5</v>
      </c>
      <c r="AD11" s="480">
        <v>12.4</v>
      </c>
      <c r="AE11" s="480">
        <v>13.6</v>
      </c>
      <c r="AF11" s="480">
        <v>15.5</v>
      </c>
      <c r="AG11" s="480">
        <v>17.399999999999999</v>
      </c>
      <c r="AH11" s="480">
        <v>17.600000000000001</v>
      </c>
      <c r="AI11" s="480">
        <v>15.1</v>
      </c>
      <c r="AK11" s="8" t="s">
        <v>14</v>
      </c>
      <c r="AL11" s="8">
        <v>0.13</v>
      </c>
      <c r="AM11" s="8"/>
      <c r="AP11" s="8" t="s">
        <v>442</v>
      </c>
      <c r="AQ11" s="8" t="s">
        <v>458</v>
      </c>
      <c r="AR11">
        <v>4</v>
      </c>
      <c r="AT11">
        <v>40</v>
      </c>
      <c r="AU11" s="226">
        <v>0.16500000000000001</v>
      </c>
      <c r="AV11" s="13">
        <v>0.37</v>
      </c>
      <c r="AW11" s="13">
        <v>0.46</v>
      </c>
      <c r="AX11" s="13">
        <v>0.55000000000000004</v>
      </c>
      <c r="AZ11">
        <v>60</v>
      </c>
      <c r="BA11" s="13">
        <v>0.14000000000000001</v>
      </c>
      <c r="BB11" s="13">
        <v>0.28000000000000003</v>
      </c>
      <c r="BC11" s="13">
        <v>0.34</v>
      </c>
      <c r="BD11" s="13">
        <v>0.38</v>
      </c>
    </row>
    <row r="12" spans="1:56" x14ac:dyDescent="0.25">
      <c r="A12" s="465" t="s">
        <v>670</v>
      </c>
      <c r="B12" s="6"/>
      <c r="C12" s="682"/>
      <c r="D12" t="s">
        <v>663</v>
      </c>
      <c r="E12" s="458">
        <v>7.8</v>
      </c>
      <c r="G12" s="3" t="s">
        <v>720</v>
      </c>
      <c r="S12" s="106"/>
      <c r="U12" s="477"/>
      <c r="V12" s="3" t="s">
        <v>720</v>
      </c>
      <c r="W12" s="480">
        <v>18.600000000000001</v>
      </c>
      <c r="X12" s="480">
        <v>18</v>
      </c>
      <c r="Y12" s="480">
        <v>16.899999999999999</v>
      </c>
      <c r="Z12" s="480">
        <v>14.5</v>
      </c>
      <c r="AA12" s="480">
        <v>12.5</v>
      </c>
      <c r="AB12" s="480">
        <v>11.1</v>
      </c>
      <c r="AC12" s="480">
        <v>10.5</v>
      </c>
      <c r="AD12" s="480">
        <v>11.1</v>
      </c>
      <c r="AE12" s="480">
        <v>12.5</v>
      </c>
      <c r="AF12" s="480">
        <v>14</v>
      </c>
      <c r="AG12" s="480">
        <v>15.9</v>
      </c>
      <c r="AH12" s="480">
        <v>17.600000000000001</v>
      </c>
      <c r="AI12" s="480">
        <v>14.4</v>
      </c>
      <c r="AK12" s="8" t="s">
        <v>15</v>
      </c>
      <c r="AL12" s="11">
        <v>0.1</v>
      </c>
      <c r="AM12" s="8"/>
      <c r="AP12" s="248" t="s">
        <v>419</v>
      </c>
      <c r="AQ12" s="8" t="s">
        <v>457</v>
      </c>
      <c r="AR12">
        <v>5</v>
      </c>
      <c r="AZ12">
        <v>70</v>
      </c>
      <c r="BA12" s="13">
        <v>0.14000000000000001</v>
      </c>
      <c r="BB12" s="13">
        <v>0.28999999999999998</v>
      </c>
      <c r="BC12" s="13">
        <v>0.34</v>
      </c>
      <c r="BD12" s="13">
        <v>0.39</v>
      </c>
    </row>
    <row r="13" spans="1:56" ht="15.75" thickBot="1" x14ac:dyDescent="0.3">
      <c r="A13" s="466" t="s">
        <v>667</v>
      </c>
      <c r="B13" s="4"/>
      <c r="C13" s="682" t="s">
        <v>662</v>
      </c>
      <c r="D13" t="s">
        <v>661</v>
      </c>
      <c r="E13" s="458">
        <v>6.9</v>
      </c>
      <c r="G13" s="482" t="s">
        <v>652</v>
      </c>
      <c r="S13" s="106"/>
      <c r="U13" s="477"/>
      <c r="V13" s="3" t="s">
        <v>652</v>
      </c>
      <c r="W13" s="480">
        <v>21.4</v>
      </c>
      <c r="X13" s="480">
        <v>20.399999999999999</v>
      </c>
      <c r="Y13" s="480">
        <v>18.3</v>
      </c>
      <c r="Z13" s="480">
        <v>14.6</v>
      </c>
      <c r="AA13" s="480">
        <v>11.7</v>
      </c>
      <c r="AB13" s="480">
        <v>9.3000000000000007</v>
      </c>
      <c r="AC13" s="480">
        <v>9.9</v>
      </c>
      <c r="AD13" s="480">
        <v>9.6999999999999993</v>
      </c>
      <c r="AE13" s="480">
        <v>12.6</v>
      </c>
      <c r="AF13" s="480">
        <v>15.4</v>
      </c>
      <c r="AG13" s="480">
        <v>14.9</v>
      </c>
      <c r="AH13" s="480">
        <v>16.600000000000001</v>
      </c>
      <c r="AI13" s="480">
        <v>14.6</v>
      </c>
      <c r="AK13" s="10" t="s">
        <v>16</v>
      </c>
      <c r="AL13" s="10">
        <v>0.17</v>
      </c>
      <c r="AM13" s="10"/>
      <c r="AP13" s="248" t="s">
        <v>420</v>
      </c>
      <c r="AQ13" s="8" t="s">
        <v>459</v>
      </c>
      <c r="AR13">
        <v>6</v>
      </c>
      <c r="AZ13">
        <v>80</v>
      </c>
      <c r="BA13" s="13">
        <v>0.15</v>
      </c>
      <c r="BB13" s="13">
        <v>0.3</v>
      </c>
      <c r="BC13" s="13">
        <v>0.35</v>
      </c>
      <c r="BD13" s="13">
        <v>0.4</v>
      </c>
    </row>
    <row r="14" spans="1:56" ht="15.75" thickBot="1" x14ac:dyDescent="0.3">
      <c r="A14" s="465" t="s">
        <v>10</v>
      </c>
      <c r="B14" s="3"/>
      <c r="C14" s="682"/>
      <c r="D14" t="s">
        <v>660</v>
      </c>
      <c r="E14" s="458">
        <v>6.9</v>
      </c>
      <c r="G14" s="3" t="s">
        <v>656</v>
      </c>
      <c r="S14" s="106"/>
      <c r="U14" s="477"/>
      <c r="V14" s="3" t="s">
        <v>656</v>
      </c>
      <c r="W14" s="480">
        <v>20.9</v>
      </c>
      <c r="X14" s="480">
        <v>20</v>
      </c>
      <c r="Y14" s="480">
        <v>17.899999999999999</v>
      </c>
      <c r="Z14" s="480">
        <v>14.3</v>
      </c>
      <c r="AA14" s="480">
        <v>10.9</v>
      </c>
      <c r="AB14" s="480">
        <v>9.1</v>
      </c>
      <c r="AC14" s="480">
        <v>8.3000000000000007</v>
      </c>
      <c r="AD14" s="480">
        <v>9.8000000000000007</v>
      </c>
      <c r="AE14" s="480">
        <v>12.4</v>
      </c>
      <c r="AF14" s="480">
        <v>15.1</v>
      </c>
      <c r="AG14" s="480">
        <v>18</v>
      </c>
      <c r="AH14" s="480">
        <v>17.3</v>
      </c>
      <c r="AI14" s="480">
        <v>14.5</v>
      </c>
      <c r="AP14" s="249" t="s">
        <v>421</v>
      </c>
      <c r="AQ14" s="10" t="s">
        <v>456</v>
      </c>
      <c r="AR14">
        <v>7</v>
      </c>
      <c r="AZ14">
        <v>90</v>
      </c>
      <c r="BA14" s="13">
        <v>0.15</v>
      </c>
      <c r="BB14" s="13">
        <v>0.3</v>
      </c>
      <c r="BC14" s="13">
        <v>0.35</v>
      </c>
      <c r="BD14" s="13">
        <v>0.4</v>
      </c>
    </row>
    <row r="15" spans="1:56" ht="18" x14ac:dyDescent="0.35">
      <c r="A15" s="468" t="s">
        <v>681</v>
      </c>
      <c r="B15" s="3"/>
      <c r="C15" s="682"/>
      <c r="D15" t="s">
        <v>659</v>
      </c>
      <c r="E15" s="458">
        <v>6.9</v>
      </c>
      <c r="G15" s="482" t="s">
        <v>721</v>
      </c>
      <c r="S15" s="106"/>
      <c r="U15" s="477"/>
      <c r="V15" s="3" t="s">
        <v>721</v>
      </c>
      <c r="W15" s="480">
        <v>17.5</v>
      </c>
      <c r="X15" s="480">
        <v>16.399999999999999</v>
      </c>
      <c r="Y15" s="480">
        <v>15.6</v>
      </c>
      <c r="Z15" s="480">
        <v>13.3</v>
      </c>
      <c r="AA15" s="480">
        <v>11.1</v>
      </c>
      <c r="AB15" s="480">
        <v>9.6</v>
      </c>
      <c r="AC15" s="480">
        <v>8.5</v>
      </c>
      <c r="AD15" s="480">
        <v>9.4</v>
      </c>
      <c r="AE15" s="480">
        <v>11.6</v>
      </c>
      <c r="AF15" s="480">
        <v>13.2</v>
      </c>
      <c r="AG15" s="480">
        <v>15.2</v>
      </c>
      <c r="AH15" s="480">
        <v>16.899999999999999</v>
      </c>
      <c r="AI15" s="480">
        <v>13.2</v>
      </c>
      <c r="AK15" s="19" t="s">
        <v>102</v>
      </c>
      <c r="AZ15">
        <v>100</v>
      </c>
      <c r="BA15" s="13">
        <v>0.15</v>
      </c>
      <c r="BB15" s="13">
        <v>0.3</v>
      </c>
      <c r="BC15" s="13">
        <v>0.35</v>
      </c>
      <c r="BD15" s="13">
        <v>0.4</v>
      </c>
    </row>
    <row r="16" spans="1:56" ht="15.75" customHeight="1" thickBot="1" x14ac:dyDescent="0.3">
      <c r="A16" s="465" t="s">
        <v>665</v>
      </c>
      <c r="B16" s="3"/>
      <c r="C16" s="682" t="s">
        <v>658</v>
      </c>
      <c r="D16" t="s">
        <v>657</v>
      </c>
      <c r="E16" s="458">
        <v>16</v>
      </c>
      <c r="G16" s="3" t="s">
        <v>695</v>
      </c>
      <c r="S16" s="106"/>
      <c r="U16" s="477"/>
      <c r="V16" s="3" t="s">
        <v>695</v>
      </c>
      <c r="W16" s="480">
        <v>15.6</v>
      </c>
      <c r="X16" s="480">
        <v>15.6</v>
      </c>
      <c r="Y16" s="480">
        <v>14.3</v>
      </c>
      <c r="Z16" s="480">
        <v>12.7</v>
      </c>
      <c r="AA16" s="480">
        <v>11.6</v>
      </c>
      <c r="AB16" s="480">
        <v>10.3</v>
      </c>
      <c r="AC16" s="480">
        <v>10</v>
      </c>
      <c r="AD16" s="480">
        <v>10.4</v>
      </c>
      <c r="AE16" s="480">
        <v>11</v>
      </c>
      <c r="AF16" s="480">
        <v>12.3</v>
      </c>
      <c r="AG16" s="480">
        <v>13.8</v>
      </c>
      <c r="AH16" s="480">
        <v>15.1</v>
      </c>
      <c r="AI16" s="480">
        <v>12.8</v>
      </c>
      <c r="AK16" s="20">
        <f>0.0000000002</f>
        <v>2.0000000000000001E-10</v>
      </c>
      <c r="AS16" t="s">
        <v>566</v>
      </c>
      <c r="AT16" t="s">
        <v>506</v>
      </c>
      <c r="AU16" t="s">
        <v>568</v>
      </c>
      <c r="AV16" t="s">
        <v>567</v>
      </c>
      <c r="AZ16" s="690" t="s">
        <v>437</v>
      </c>
      <c r="BA16" s="690"/>
      <c r="BB16" s="690"/>
      <c r="BC16" s="690"/>
      <c r="BD16" s="690"/>
    </row>
    <row r="17" spans="1:56" ht="15.75" thickBot="1" x14ac:dyDescent="0.3">
      <c r="A17" s="466" t="s">
        <v>664</v>
      </c>
      <c r="B17" s="3"/>
      <c r="C17" s="682"/>
      <c r="D17" t="s">
        <v>656</v>
      </c>
      <c r="E17" s="458">
        <v>4.7</v>
      </c>
      <c r="G17" s="482" t="s">
        <v>651</v>
      </c>
      <c r="S17" s="106"/>
      <c r="U17" s="477"/>
      <c r="V17" s="3" t="s">
        <v>651</v>
      </c>
      <c r="W17" s="480">
        <v>17</v>
      </c>
      <c r="X17" s="480">
        <v>16.8</v>
      </c>
      <c r="Y17" s="480">
        <v>15.6</v>
      </c>
      <c r="Z17" s="480">
        <v>14.2</v>
      </c>
      <c r="AA17" s="480">
        <v>13.3</v>
      </c>
      <c r="AB17" s="480">
        <v>12</v>
      </c>
      <c r="AC17" s="480">
        <v>11.4</v>
      </c>
      <c r="AD17" s="480">
        <v>11.7</v>
      </c>
      <c r="AE17" s="480">
        <v>12.1</v>
      </c>
      <c r="AF17" s="480">
        <v>13.2</v>
      </c>
      <c r="AG17" s="480">
        <v>14.7</v>
      </c>
      <c r="AH17" s="480">
        <v>16.2</v>
      </c>
      <c r="AI17" s="480">
        <v>14</v>
      </c>
      <c r="AM17" t="s">
        <v>537</v>
      </c>
      <c r="AQ17" t="s">
        <v>500</v>
      </c>
      <c r="AR17">
        <v>1</v>
      </c>
      <c r="AS17" t="s">
        <v>530</v>
      </c>
      <c r="AU17" t="s">
        <v>569</v>
      </c>
      <c r="AV17">
        <v>1</v>
      </c>
      <c r="AZ17" t="s">
        <v>431</v>
      </c>
      <c r="BA17" s="13" t="s">
        <v>432</v>
      </c>
      <c r="BB17" s="227" t="s">
        <v>438</v>
      </c>
      <c r="BC17" s="13" t="s">
        <v>433</v>
      </c>
      <c r="BD17" s="13" t="s">
        <v>434</v>
      </c>
    </row>
    <row r="18" spans="1:56" x14ac:dyDescent="0.25">
      <c r="A18" s="465" t="s">
        <v>663</v>
      </c>
      <c r="B18" s="6"/>
      <c r="C18" s="682"/>
      <c r="D18" t="s">
        <v>654</v>
      </c>
      <c r="E18" s="458">
        <v>4.7</v>
      </c>
      <c r="G18" s="3" t="s">
        <v>696</v>
      </c>
      <c r="S18" s="106"/>
      <c r="U18" s="477"/>
      <c r="V18" s="3" t="s">
        <v>696</v>
      </c>
      <c r="W18" s="480">
        <v>20.2</v>
      </c>
      <c r="X18" s="480">
        <v>19.100000000000001</v>
      </c>
      <c r="Y18" s="480">
        <v>16.7</v>
      </c>
      <c r="Z18" s="480">
        <v>13.1</v>
      </c>
      <c r="AA18" s="480">
        <v>10</v>
      </c>
      <c r="AB18" s="480">
        <v>7.7</v>
      </c>
      <c r="AC18" s="480">
        <v>7.3</v>
      </c>
      <c r="AD18" s="480">
        <v>8.6</v>
      </c>
      <c r="AE18" s="480">
        <v>10.6</v>
      </c>
      <c r="AF18" s="480">
        <v>13.6</v>
      </c>
      <c r="AG18" s="480">
        <v>16.600000000000001</v>
      </c>
      <c r="AH18" s="480">
        <v>19.2</v>
      </c>
      <c r="AI18" s="480">
        <v>13.6</v>
      </c>
      <c r="AK18" s="7" t="s">
        <v>17</v>
      </c>
      <c r="AQ18" t="s">
        <v>494</v>
      </c>
      <c r="AR18">
        <v>2</v>
      </c>
      <c r="AS18" t="s">
        <v>536</v>
      </c>
      <c r="AT18" t="s">
        <v>579</v>
      </c>
      <c r="AU18" t="s">
        <v>118</v>
      </c>
      <c r="AV18">
        <v>1</v>
      </c>
      <c r="AW18" s="226"/>
      <c r="AZ18">
        <v>0</v>
      </c>
      <c r="BA18" s="13">
        <v>0</v>
      </c>
      <c r="BB18" s="13">
        <v>0</v>
      </c>
      <c r="BC18" s="13">
        <v>0</v>
      </c>
      <c r="BD18" s="13">
        <v>0</v>
      </c>
    </row>
    <row r="19" spans="1:56" ht="15.75" thickBot="1" x14ac:dyDescent="0.3">
      <c r="A19" s="466" t="s">
        <v>10</v>
      </c>
      <c r="B19" s="4"/>
      <c r="C19" s="682"/>
      <c r="D19" s="3" t="s">
        <v>655</v>
      </c>
      <c r="E19" s="458">
        <v>4.7</v>
      </c>
      <c r="G19" s="482" t="s">
        <v>697</v>
      </c>
      <c r="S19" s="106"/>
      <c r="U19" s="477"/>
      <c r="V19" s="3" t="s">
        <v>697</v>
      </c>
      <c r="W19" s="480">
        <v>20.9</v>
      </c>
      <c r="X19" s="480">
        <v>19.899999999999999</v>
      </c>
      <c r="Y19" s="480">
        <v>17.600000000000001</v>
      </c>
      <c r="Z19" s="480">
        <v>14.2</v>
      </c>
      <c r="AA19" s="480">
        <v>11.1</v>
      </c>
      <c r="AB19" s="480">
        <v>8.5</v>
      </c>
      <c r="AC19" s="480">
        <v>8.1</v>
      </c>
      <c r="AD19" s="480">
        <v>9.5</v>
      </c>
      <c r="AE19" s="480">
        <v>11.5</v>
      </c>
      <c r="AF19" s="480">
        <v>14.5</v>
      </c>
      <c r="AG19" s="480">
        <v>17.3</v>
      </c>
      <c r="AH19" s="480">
        <v>19.899999999999999</v>
      </c>
      <c r="AI19" s="480">
        <v>14.4</v>
      </c>
      <c r="AK19" s="10">
        <v>1</v>
      </c>
      <c r="AQ19" t="s">
        <v>495</v>
      </c>
      <c r="AR19">
        <v>3</v>
      </c>
      <c r="AS19" t="s">
        <v>531</v>
      </c>
      <c r="AT19" t="s">
        <v>580</v>
      </c>
      <c r="AU19" t="s">
        <v>570</v>
      </c>
      <c r="AV19">
        <v>1</v>
      </c>
      <c r="AW19" s="226"/>
      <c r="AZ19">
        <v>5</v>
      </c>
      <c r="BA19" s="13">
        <v>0.09</v>
      </c>
      <c r="BB19" s="13">
        <v>0.16</v>
      </c>
      <c r="BC19" s="13">
        <v>0.2</v>
      </c>
      <c r="BD19" s="13">
        <v>0.2</v>
      </c>
    </row>
    <row r="20" spans="1:56" x14ac:dyDescent="0.25">
      <c r="A20" s="467" t="s">
        <v>682</v>
      </c>
      <c r="B20" s="3"/>
      <c r="C20" s="682"/>
      <c r="D20" t="s">
        <v>653</v>
      </c>
      <c r="E20" s="458">
        <v>4.7</v>
      </c>
      <c r="G20" s="3" t="s">
        <v>698</v>
      </c>
      <c r="S20" s="106"/>
      <c r="U20" s="477"/>
      <c r="V20" s="3" t="s">
        <v>698</v>
      </c>
      <c r="W20" s="480">
        <v>20.5</v>
      </c>
      <c r="X20" s="480">
        <v>19.600000000000001</v>
      </c>
      <c r="Y20" s="480">
        <v>17.399999999999999</v>
      </c>
      <c r="Z20" s="480">
        <v>14.2</v>
      </c>
      <c r="AA20" s="480">
        <v>11.1</v>
      </c>
      <c r="AB20" s="480">
        <v>8.5</v>
      </c>
      <c r="AC20" s="480">
        <v>8.1999999999999993</v>
      </c>
      <c r="AD20" s="480">
        <v>9.4</v>
      </c>
      <c r="AE20" s="480">
        <v>11.3</v>
      </c>
      <c r="AF20" s="480">
        <v>14.1</v>
      </c>
      <c r="AG20" s="480">
        <v>17</v>
      </c>
      <c r="AH20" s="480">
        <v>19.399999999999999</v>
      </c>
      <c r="AI20" s="480">
        <v>14.2</v>
      </c>
      <c r="AQ20" t="s">
        <v>498</v>
      </c>
      <c r="AR20">
        <v>4</v>
      </c>
      <c r="AS20" t="s">
        <v>533</v>
      </c>
      <c r="AT20" t="s">
        <v>581</v>
      </c>
      <c r="AU20" t="s">
        <v>571</v>
      </c>
      <c r="AV20">
        <v>1</v>
      </c>
      <c r="AW20" s="226"/>
      <c r="AZ20">
        <v>10</v>
      </c>
      <c r="BA20" s="13">
        <v>0.14000000000000001</v>
      </c>
      <c r="BB20" s="13">
        <v>0.28999999999999998</v>
      </c>
      <c r="BC20" s="13">
        <v>0.34</v>
      </c>
      <c r="BD20" s="13">
        <v>0.37</v>
      </c>
    </row>
    <row r="21" spans="1:56" ht="15.75" thickBot="1" x14ac:dyDescent="0.3">
      <c r="A21" s="466" t="s">
        <v>661</v>
      </c>
      <c r="B21" s="3"/>
      <c r="C21" s="682"/>
      <c r="D21" t="s">
        <v>652</v>
      </c>
      <c r="E21" s="458">
        <v>4.7</v>
      </c>
      <c r="G21" s="482" t="s">
        <v>699</v>
      </c>
      <c r="S21" s="106"/>
      <c r="U21" s="477"/>
      <c r="V21" s="3" t="s">
        <v>699</v>
      </c>
      <c r="W21" s="480">
        <v>18.5</v>
      </c>
      <c r="X21" s="480">
        <v>18.7</v>
      </c>
      <c r="Y21" s="480">
        <v>17.899999999999999</v>
      </c>
      <c r="Z21" s="480">
        <v>16.600000000000001</v>
      </c>
      <c r="AA21" s="480">
        <v>15.3</v>
      </c>
      <c r="AB21" s="480">
        <v>13.7</v>
      </c>
      <c r="AC21" s="480">
        <v>12.7</v>
      </c>
      <c r="AD21" s="480">
        <v>12.3</v>
      </c>
      <c r="AE21" s="480">
        <v>12.4</v>
      </c>
      <c r="AF21" s="480">
        <v>13.4</v>
      </c>
      <c r="AG21" s="480">
        <v>14.9</v>
      </c>
      <c r="AH21" s="480">
        <v>17</v>
      </c>
      <c r="AI21" s="480">
        <v>15.3</v>
      </c>
      <c r="AK21" s="687" t="s">
        <v>128</v>
      </c>
      <c r="AL21" s="688"/>
      <c r="AN21" t="s">
        <v>774</v>
      </c>
      <c r="AQ21" t="s">
        <v>499</v>
      </c>
      <c r="AR21">
        <v>5</v>
      </c>
      <c r="AS21" t="s">
        <v>534</v>
      </c>
      <c r="AT21" t="s">
        <v>582</v>
      </c>
      <c r="AU21" t="s">
        <v>572</v>
      </c>
      <c r="AV21">
        <v>1</v>
      </c>
      <c r="AZ21">
        <v>15</v>
      </c>
      <c r="BA21" s="13">
        <v>0.16</v>
      </c>
      <c r="BB21" s="13">
        <v>0.36</v>
      </c>
      <c r="BC21" s="13">
        <v>0.45</v>
      </c>
      <c r="BD21" s="13">
        <v>0.52</v>
      </c>
    </row>
    <row r="22" spans="1:56" ht="15.75" customHeight="1" x14ac:dyDescent="0.25">
      <c r="A22" s="465" t="s">
        <v>660</v>
      </c>
      <c r="B22" s="6"/>
      <c r="C22" s="682"/>
      <c r="D22" t="s">
        <v>651</v>
      </c>
      <c r="E22" s="458">
        <v>4.7</v>
      </c>
      <c r="G22" s="3" t="s">
        <v>727</v>
      </c>
      <c r="S22" s="106"/>
      <c r="U22" s="477"/>
      <c r="V22" s="3" t="s">
        <v>727</v>
      </c>
      <c r="W22" s="480">
        <v>19.899999999999999</v>
      </c>
      <c r="X22" s="480">
        <v>18.8</v>
      </c>
      <c r="Y22" s="480">
        <v>16.5</v>
      </c>
      <c r="Z22" s="480">
        <v>12.8</v>
      </c>
      <c r="AA22" s="480">
        <v>9.8000000000000007</v>
      </c>
      <c r="AB22" s="480">
        <v>8.3000000000000007</v>
      </c>
      <c r="AC22" s="480">
        <v>7.1</v>
      </c>
      <c r="AD22" s="480">
        <v>8.6</v>
      </c>
      <c r="AE22" s="480">
        <v>10.9</v>
      </c>
      <c r="AF22" s="480">
        <v>13.6</v>
      </c>
      <c r="AG22" s="480">
        <v>16.7</v>
      </c>
      <c r="AH22" s="480">
        <v>18.899999999999999</v>
      </c>
      <c r="AI22" s="480">
        <v>13.5</v>
      </c>
      <c r="AK22" s="18" t="s">
        <v>506</v>
      </c>
      <c r="AL22" t="s">
        <v>504</v>
      </c>
      <c r="AM22" s="304"/>
      <c r="AN22">
        <v>462</v>
      </c>
      <c r="AO22" t="s">
        <v>775</v>
      </c>
      <c r="AQ22" t="s">
        <v>496</v>
      </c>
      <c r="AR22">
        <v>6</v>
      </c>
      <c r="AS22" t="s">
        <v>535</v>
      </c>
      <c r="AT22" t="s">
        <v>583</v>
      </c>
      <c r="AU22" t="s">
        <v>572</v>
      </c>
      <c r="AV22" s="304">
        <v>1000000000</v>
      </c>
      <c r="AZ22">
        <v>20</v>
      </c>
      <c r="BA22" s="13">
        <v>0.17</v>
      </c>
      <c r="BB22" s="13">
        <v>0.42</v>
      </c>
      <c r="BC22" s="13">
        <v>0.55000000000000004</v>
      </c>
      <c r="BD22" s="13">
        <v>0.65</v>
      </c>
    </row>
    <row r="23" spans="1:56" ht="15" customHeight="1" x14ac:dyDescent="0.25">
      <c r="A23" s="466" t="s">
        <v>659</v>
      </c>
      <c r="B23" s="5"/>
      <c r="C23" s="683" t="s">
        <v>254</v>
      </c>
      <c r="D23" s="3" t="s">
        <v>248</v>
      </c>
      <c r="E23" s="458">
        <v>1.8</v>
      </c>
      <c r="G23" s="482" t="s">
        <v>700</v>
      </c>
      <c r="S23" s="106"/>
      <c r="U23" s="476"/>
      <c r="V23" s="3" t="s">
        <v>700</v>
      </c>
      <c r="W23" s="480">
        <v>15.8</v>
      </c>
      <c r="X23" s="480">
        <v>15.6</v>
      </c>
      <c r="Y23" s="480">
        <v>14.3</v>
      </c>
      <c r="Z23" s="480">
        <v>11.9</v>
      </c>
      <c r="AA23" s="480">
        <v>8.3000000000000007</v>
      </c>
      <c r="AB23" s="480">
        <v>5.7</v>
      </c>
      <c r="AC23" s="480">
        <v>4.8</v>
      </c>
      <c r="AD23" s="480">
        <v>5.5</v>
      </c>
      <c r="AE23" s="480">
        <v>7.1</v>
      </c>
      <c r="AF23" s="480">
        <v>9.4</v>
      </c>
      <c r="AG23" s="480">
        <v>12.1</v>
      </c>
      <c r="AH23" s="480">
        <v>14.5</v>
      </c>
      <c r="AI23" s="480">
        <v>10.4</v>
      </c>
      <c r="AK23" s="8" t="s">
        <v>503</v>
      </c>
      <c r="AL23" s="304">
        <v>1.0000000000000001E-9</v>
      </c>
      <c r="AM23" s="304"/>
      <c r="AQ23" t="s">
        <v>529</v>
      </c>
      <c r="AR23">
        <v>7</v>
      </c>
      <c r="AS23" t="s">
        <v>532</v>
      </c>
      <c r="AT23" t="s">
        <v>584</v>
      </c>
      <c r="AU23" t="s">
        <v>570</v>
      </c>
      <c r="AV23" s="304">
        <f>$AL$24</f>
        <v>2.0835105554910798E-9</v>
      </c>
      <c r="AZ23">
        <v>25</v>
      </c>
      <c r="BA23" s="13">
        <v>0.17</v>
      </c>
      <c r="BB23" s="13">
        <v>0.47</v>
      </c>
      <c r="BC23" s="13">
        <v>0.63</v>
      </c>
      <c r="BD23" s="13">
        <v>0.76</v>
      </c>
    </row>
    <row r="24" spans="1:56" ht="15.75" thickBot="1" x14ac:dyDescent="0.3">
      <c r="A24" s="465" t="s">
        <v>10</v>
      </c>
      <c r="B24" s="3"/>
      <c r="C24" s="683"/>
      <c r="D24" s="3" t="s">
        <v>249</v>
      </c>
      <c r="E24" s="458">
        <v>2.2000000000000002</v>
      </c>
      <c r="G24" s="3" t="s">
        <v>701</v>
      </c>
      <c r="S24" s="106"/>
      <c r="U24" s="476"/>
      <c r="V24" s="3" t="s">
        <v>701</v>
      </c>
      <c r="W24" s="480">
        <v>18.899999999999999</v>
      </c>
      <c r="X24" s="480">
        <v>18.100000000000001</v>
      </c>
      <c r="Y24" s="480">
        <v>15.9</v>
      </c>
      <c r="Z24" s="480">
        <v>12.4</v>
      </c>
      <c r="AA24" s="480">
        <v>10</v>
      </c>
      <c r="AB24" s="480">
        <v>7.5</v>
      </c>
      <c r="AC24" s="480">
        <v>7.3</v>
      </c>
      <c r="AD24" s="480">
        <v>7.8</v>
      </c>
      <c r="AE24" s="480">
        <v>9.3000000000000007</v>
      </c>
      <c r="AF24" s="480">
        <v>12.2</v>
      </c>
      <c r="AG24" s="480">
        <v>15</v>
      </c>
      <c r="AH24" s="480">
        <v>17.5</v>
      </c>
      <c r="AI24" s="480">
        <v>12.7</v>
      </c>
      <c r="AK24" s="10" t="s">
        <v>505</v>
      </c>
      <c r="AL24" s="304">
        <v>2.0835105554910798E-9</v>
      </c>
      <c r="AW24">
        <v>1</v>
      </c>
      <c r="AX24" t="s">
        <v>110</v>
      </c>
      <c r="AZ24">
        <v>30</v>
      </c>
      <c r="BA24" s="13">
        <v>0.17499999999999999</v>
      </c>
      <c r="BB24" s="13">
        <v>0.51</v>
      </c>
      <c r="BC24" s="13">
        <v>0.68</v>
      </c>
      <c r="BD24" s="13">
        <v>0.87</v>
      </c>
    </row>
    <row r="25" spans="1:56" x14ac:dyDescent="0.25">
      <c r="A25" s="468" t="s">
        <v>683</v>
      </c>
      <c r="B25" s="3"/>
      <c r="C25" s="683"/>
      <c r="D25" s="3" t="s">
        <v>250</v>
      </c>
      <c r="E25" s="458">
        <v>2.2000000000000002</v>
      </c>
      <c r="G25" s="482" t="s">
        <v>702</v>
      </c>
      <c r="S25" s="106"/>
      <c r="U25" s="476"/>
      <c r="V25" s="3" t="s">
        <v>702</v>
      </c>
      <c r="W25" s="480">
        <v>20</v>
      </c>
      <c r="X25" s="480">
        <v>18.899999999999999</v>
      </c>
      <c r="Y25" s="480">
        <v>15.9</v>
      </c>
      <c r="Z25" s="480">
        <v>12.1</v>
      </c>
      <c r="AA25" s="480">
        <v>9.5</v>
      </c>
      <c r="AB25" s="480">
        <v>7.4</v>
      </c>
      <c r="AC25" s="480">
        <v>7.2</v>
      </c>
      <c r="AD25" s="480">
        <v>8.1999999999999993</v>
      </c>
      <c r="AE25" s="480">
        <v>10.1</v>
      </c>
      <c r="AF25" s="480">
        <v>13</v>
      </c>
      <c r="AG25" s="480">
        <v>15.9</v>
      </c>
      <c r="AH25" s="480">
        <v>18.7</v>
      </c>
      <c r="AI25" s="480">
        <v>13.1</v>
      </c>
      <c r="AQ25" t="s">
        <v>524</v>
      </c>
      <c r="AR25" t="s">
        <v>115</v>
      </c>
      <c r="AW25">
        <v>2</v>
      </c>
      <c r="AX25" t="s">
        <v>111</v>
      </c>
      <c r="AZ25">
        <v>40</v>
      </c>
      <c r="BA25" s="13">
        <v>0.185</v>
      </c>
      <c r="BB25" s="13">
        <v>0.56999999999999995</v>
      </c>
      <c r="BC25" s="13">
        <v>0.77</v>
      </c>
      <c r="BD25" s="13">
        <v>1.03</v>
      </c>
    </row>
    <row r="26" spans="1:56" ht="15.75" thickBot="1" x14ac:dyDescent="0.3">
      <c r="A26" s="465" t="s">
        <v>657</v>
      </c>
      <c r="B26" s="6"/>
      <c r="C26" s="683"/>
      <c r="D26" s="3" t="s">
        <v>251</v>
      </c>
      <c r="E26" s="458">
        <v>1.8</v>
      </c>
      <c r="G26" s="3" t="s">
        <v>723</v>
      </c>
      <c r="S26" s="106"/>
      <c r="U26" s="476"/>
      <c r="V26" s="3" t="s">
        <v>723</v>
      </c>
      <c r="W26" s="480">
        <v>20.3</v>
      </c>
      <c r="X26" s="480">
        <v>19.5</v>
      </c>
      <c r="Y26" s="480">
        <v>17.600000000000001</v>
      </c>
      <c r="Z26" s="480">
        <v>13.4</v>
      </c>
      <c r="AA26" s="480">
        <v>10.3</v>
      </c>
      <c r="AB26" s="480">
        <v>8.5</v>
      </c>
      <c r="AC26" s="480">
        <v>7.6</v>
      </c>
      <c r="AD26" s="480">
        <v>8.8000000000000007</v>
      </c>
      <c r="AE26" s="480">
        <v>11.1</v>
      </c>
      <c r="AF26" s="480">
        <v>13.8</v>
      </c>
      <c r="AG26" s="480">
        <v>16.8</v>
      </c>
      <c r="AH26" s="480">
        <v>19.7</v>
      </c>
      <c r="AI26" s="480">
        <v>14</v>
      </c>
      <c r="AK26" s="687" t="s">
        <v>507</v>
      </c>
      <c r="AL26" s="688"/>
      <c r="AN26">
        <f>60*60*24*30</f>
        <v>2592000</v>
      </c>
      <c r="AQ26" s="3" t="s">
        <v>539</v>
      </c>
      <c r="AR26">
        <v>2.7E-2</v>
      </c>
      <c r="AW26">
        <v>3</v>
      </c>
      <c r="AX26" t="s">
        <v>104</v>
      </c>
      <c r="AZ26">
        <v>50</v>
      </c>
      <c r="BA26" s="13">
        <v>0.19</v>
      </c>
      <c r="BB26" s="13">
        <v>0.6</v>
      </c>
      <c r="BC26" s="13">
        <v>0.84</v>
      </c>
      <c r="BD26" s="13">
        <v>1.1499999999999999</v>
      </c>
    </row>
    <row r="27" spans="1:56" x14ac:dyDescent="0.25">
      <c r="A27" s="466" t="s">
        <v>656</v>
      </c>
      <c r="B27" s="5"/>
      <c r="C27" s="683"/>
      <c r="D27" s="3" t="s">
        <v>252</v>
      </c>
      <c r="E27" s="458">
        <v>2.2000000000000002</v>
      </c>
      <c r="G27" s="482" t="s">
        <v>724</v>
      </c>
      <c r="S27" s="106"/>
      <c r="U27" s="476"/>
      <c r="V27" s="3" t="s">
        <v>724</v>
      </c>
      <c r="W27" s="480">
        <v>15.6</v>
      </c>
      <c r="X27" s="480">
        <v>14.7</v>
      </c>
      <c r="Y27" s="480">
        <v>14.1</v>
      </c>
      <c r="Z27" s="480">
        <v>12.5</v>
      </c>
      <c r="AA27" s="480">
        <v>11.1</v>
      </c>
      <c r="AB27" s="480">
        <v>10</v>
      </c>
      <c r="AC27" s="480">
        <v>8.5</v>
      </c>
      <c r="AD27" s="480">
        <v>9.3000000000000007</v>
      </c>
      <c r="AE27" s="480">
        <v>10.5</v>
      </c>
      <c r="AF27" s="480">
        <v>11.5</v>
      </c>
      <c r="AG27" s="480">
        <v>13.2</v>
      </c>
      <c r="AH27" s="480">
        <v>15</v>
      </c>
      <c r="AI27" s="480">
        <v>12.2</v>
      </c>
      <c r="AK27" s="18" t="s">
        <v>506</v>
      </c>
      <c r="AL27" t="s">
        <v>508</v>
      </c>
      <c r="AQ27" s="3" t="s">
        <v>540</v>
      </c>
      <c r="AR27">
        <v>4.2999999999999997E-2</v>
      </c>
      <c r="AW27">
        <v>4</v>
      </c>
      <c r="AX27" t="s">
        <v>112</v>
      </c>
      <c r="AZ27">
        <v>60</v>
      </c>
      <c r="BA27" s="13">
        <v>0.19</v>
      </c>
      <c r="BB27" s="13">
        <v>0.61</v>
      </c>
      <c r="BC27" s="13">
        <v>0.89</v>
      </c>
      <c r="BD27" s="13">
        <v>1.25</v>
      </c>
    </row>
    <row r="28" spans="1:56" x14ac:dyDescent="0.25">
      <c r="A28" s="465" t="s">
        <v>654</v>
      </c>
      <c r="C28" s="683"/>
      <c r="D28" s="3" t="s">
        <v>253</v>
      </c>
      <c r="E28" s="458">
        <v>1.8</v>
      </c>
      <c r="G28" s="3" t="s">
        <v>725</v>
      </c>
      <c r="S28" s="106"/>
      <c r="U28" s="476"/>
      <c r="V28" s="3" t="s">
        <v>725</v>
      </c>
      <c r="W28" s="480">
        <v>19.600000000000001</v>
      </c>
      <c r="X28" s="480">
        <v>18.2</v>
      </c>
      <c r="Y28" s="480">
        <v>16.100000000000001</v>
      </c>
      <c r="Z28" s="480">
        <v>12.5</v>
      </c>
      <c r="AA28" s="480">
        <v>9.8000000000000007</v>
      </c>
      <c r="AB28" s="480">
        <v>8.6</v>
      </c>
      <c r="AC28" s="480">
        <v>6.4</v>
      </c>
      <c r="AD28" s="480">
        <v>8.5</v>
      </c>
      <c r="AE28" s="480">
        <v>10.7</v>
      </c>
      <c r="AF28" s="480">
        <v>13.4</v>
      </c>
      <c r="AG28" s="480">
        <v>16.2</v>
      </c>
      <c r="AH28" s="480">
        <v>18.899999999999999</v>
      </c>
      <c r="AI28" s="480">
        <v>13.2</v>
      </c>
      <c r="AK28" s="8" t="s">
        <v>502</v>
      </c>
      <c r="AL28" s="304">
        <v>1000000000</v>
      </c>
      <c r="AQ28" s="3" t="s">
        <v>541</v>
      </c>
      <c r="AR28">
        <v>6.6000000000000003E-2</v>
      </c>
      <c r="AZ28">
        <v>70</v>
      </c>
      <c r="BA28" s="13">
        <v>0.19</v>
      </c>
      <c r="BB28" s="13">
        <v>0.62</v>
      </c>
      <c r="BC28" s="13">
        <v>0.94</v>
      </c>
      <c r="BD28" s="13">
        <v>1.33</v>
      </c>
    </row>
    <row r="29" spans="1:56" ht="15" customHeight="1" x14ac:dyDescent="0.25">
      <c r="A29" s="466" t="s">
        <v>655</v>
      </c>
      <c r="B29" s="3"/>
      <c r="C29" s="683" t="s">
        <v>2</v>
      </c>
      <c r="D29" s="462" t="s">
        <v>18</v>
      </c>
      <c r="E29" s="458">
        <v>2.4</v>
      </c>
      <c r="G29" s="482" t="s">
        <v>726</v>
      </c>
      <c r="S29" s="106"/>
      <c r="U29" s="476"/>
      <c r="V29" s="3" t="s">
        <v>726</v>
      </c>
      <c r="W29" s="480">
        <v>21</v>
      </c>
      <c r="X29" s="480">
        <v>20</v>
      </c>
      <c r="Y29" s="480">
        <v>17.600000000000001</v>
      </c>
      <c r="Z29" s="480">
        <v>13.7</v>
      </c>
      <c r="AA29" s="480">
        <v>10.9</v>
      </c>
      <c r="AB29" s="480">
        <v>9</v>
      </c>
      <c r="AC29" s="480">
        <v>8.9</v>
      </c>
      <c r="AD29" s="480">
        <v>9</v>
      </c>
      <c r="AE29" s="480">
        <v>10.9</v>
      </c>
      <c r="AF29" s="480">
        <v>13.4</v>
      </c>
      <c r="AG29" s="480">
        <v>16</v>
      </c>
      <c r="AH29" s="480">
        <v>19.600000000000001</v>
      </c>
      <c r="AI29" s="480">
        <v>14.2</v>
      </c>
      <c r="AL29" s="304"/>
      <c r="AP29" s="308"/>
      <c r="AQ29" s="3" t="s">
        <v>576</v>
      </c>
      <c r="AS29" s="308"/>
      <c r="AT29" s="308"/>
      <c r="AU29" s="308"/>
      <c r="AV29" s="308"/>
      <c r="AW29" s="308"/>
      <c r="AX29" s="308"/>
      <c r="AZ29">
        <v>80</v>
      </c>
      <c r="BA29" s="13">
        <v>0.2</v>
      </c>
      <c r="BB29" s="13">
        <v>0.63</v>
      </c>
      <c r="BC29" s="13">
        <v>1</v>
      </c>
      <c r="BD29" s="13">
        <v>1.46</v>
      </c>
    </row>
    <row r="30" spans="1:56" x14ac:dyDescent="0.25">
      <c r="A30" s="465" t="s">
        <v>653</v>
      </c>
      <c r="B30" s="3"/>
      <c r="C30" s="683"/>
      <c r="D30" s="3" t="s">
        <v>19</v>
      </c>
      <c r="E30" s="458">
        <v>4.4000000000000004</v>
      </c>
      <c r="G30" s="3" t="s">
        <v>703</v>
      </c>
      <c r="S30" s="106"/>
      <c r="U30" s="476"/>
      <c r="V30" s="3" t="s">
        <v>703</v>
      </c>
      <c r="W30" s="480">
        <v>19.100000000000001</v>
      </c>
      <c r="X30" s="480">
        <v>18.3</v>
      </c>
      <c r="Y30" s="480">
        <v>15.8</v>
      </c>
      <c r="Z30" s="480">
        <v>12.3</v>
      </c>
      <c r="AA30" s="480">
        <v>9.6</v>
      </c>
      <c r="AB30" s="480">
        <v>7.7</v>
      </c>
      <c r="AC30" s="480">
        <v>7.3</v>
      </c>
      <c r="AD30" s="480">
        <v>8.1999999999999993</v>
      </c>
      <c r="AE30" s="480">
        <v>9.6999999999999993</v>
      </c>
      <c r="AF30" s="480">
        <v>11.9</v>
      </c>
      <c r="AG30" s="480">
        <v>14.9</v>
      </c>
      <c r="AH30" s="480">
        <v>17.7</v>
      </c>
      <c r="AI30" s="480">
        <v>12.7</v>
      </c>
      <c r="AK30" t="s">
        <v>688</v>
      </c>
      <c r="AL30">
        <v>1</v>
      </c>
      <c r="AP30" s="308"/>
      <c r="AQ30" s="308"/>
      <c r="AR30" s="308"/>
      <c r="AS30" s="308"/>
      <c r="AT30" s="308"/>
      <c r="AU30" s="308"/>
      <c r="AV30" s="308"/>
      <c r="AW30" s="308"/>
      <c r="AX30" s="308"/>
      <c r="AZ30">
        <v>90</v>
      </c>
      <c r="BA30" s="13">
        <v>0.2</v>
      </c>
      <c r="BB30" s="13">
        <v>0.63</v>
      </c>
      <c r="BC30" s="13">
        <v>1</v>
      </c>
      <c r="BD30" s="13">
        <v>1.46</v>
      </c>
    </row>
    <row r="31" spans="1:56" x14ac:dyDescent="0.25">
      <c r="A31" s="466" t="s">
        <v>652</v>
      </c>
      <c r="B31" s="3"/>
      <c r="C31" s="683"/>
      <c r="D31" s="3" t="s">
        <v>20</v>
      </c>
      <c r="E31" s="458">
        <v>3.9</v>
      </c>
      <c r="G31" s="482" t="s">
        <v>704</v>
      </c>
      <c r="S31" s="106"/>
      <c r="U31" s="476"/>
      <c r="V31" s="3" t="s">
        <v>704</v>
      </c>
      <c r="W31" s="480">
        <v>16.3</v>
      </c>
      <c r="X31" s="480">
        <v>15.7</v>
      </c>
      <c r="Y31" s="480">
        <v>13.9</v>
      </c>
      <c r="Z31" s="480">
        <v>12</v>
      </c>
      <c r="AA31" s="480">
        <v>10.8</v>
      </c>
      <c r="AB31" s="480">
        <v>9.1999999999999993</v>
      </c>
      <c r="AC31" s="480">
        <v>8.8000000000000007</v>
      </c>
      <c r="AD31" s="480">
        <v>9.1</v>
      </c>
      <c r="AE31" s="480">
        <v>9.6999999999999993</v>
      </c>
      <c r="AF31" s="480">
        <v>11.5</v>
      </c>
      <c r="AG31" s="480">
        <v>13.5</v>
      </c>
      <c r="AH31" s="480">
        <v>15.5</v>
      </c>
      <c r="AI31" s="480">
        <v>12.2</v>
      </c>
      <c r="AK31" t="s">
        <v>689</v>
      </c>
      <c r="AL31">
        <v>2</v>
      </c>
      <c r="AP31" s="308"/>
      <c r="AQ31" s="308"/>
      <c r="AR31" s="308"/>
      <c r="AS31" s="308"/>
      <c r="AT31" s="308"/>
      <c r="AU31" s="308"/>
      <c r="AV31" s="308"/>
      <c r="AW31" s="308"/>
      <c r="AX31" s="308"/>
      <c r="AZ31">
        <v>100</v>
      </c>
      <c r="BA31" s="13">
        <v>0.2</v>
      </c>
      <c r="BB31" s="13">
        <v>0.63</v>
      </c>
      <c r="BC31" s="13">
        <v>1</v>
      </c>
      <c r="BD31" s="13">
        <v>1.46</v>
      </c>
    </row>
    <row r="32" spans="1:56" x14ac:dyDescent="0.25">
      <c r="A32" s="465" t="s">
        <v>651</v>
      </c>
      <c r="B32" s="6"/>
      <c r="C32" s="683" t="s">
        <v>3</v>
      </c>
      <c r="D32" s="3" t="s">
        <v>21</v>
      </c>
      <c r="E32" s="458">
        <v>3.4</v>
      </c>
      <c r="G32" s="3" t="s">
        <v>705</v>
      </c>
      <c r="S32" s="106"/>
      <c r="U32" s="476"/>
      <c r="V32" s="3" t="s">
        <v>705</v>
      </c>
      <c r="W32" s="480">
        <v>15.8</v>
      </c>
      <c r="X32" s="480">
        <v>15.4</v>
      </c>
      <c r="Y32" s="480">
        <v>13.5</v>
      </c>
      <c r="Z32" s="480">
        <v>11</v>
      </c>
      <c r="AA32" s="480">
        <v>9.4</v>
      </c>
      <c r="AB32" s="480">
        <v>7.5</v>
      </c>
      <c r="AC32" s="480">
        <v>7.2</v>
      </c>
      <c r="AD32" s="480">
        <v>7.7</v>
      </c>
      <c r="AE32" s="480">
        <v>8.8000000000000007</v>
      </c>
      <c r="AF32" s="480">
        <v>10.6</v>
      </c>
      <c r="AG32" s="480">
        <v>12.7</v>
      </c>
      <c r="AH32" s="480">
        <v>14.7</v>
      </c>
      <c r="AI32" s="480">
        <v>11.2</v>
      </c>
      <c r="AP32" s="308"/>
      <c r="AQ32" t="s">
        <v>527</v>
      </c>
      <c r="AR32" s="308"/>
      <c r="AS32" s="308"/>
      <c r="AT32" s="308"/>
      <c r="AU32" s="308"/>
      <c r="AV32" s="308"/>
      <c r="AW32" s="308"/>
      <c r="AX32" s="308"/>
    </row>
    <row r="33" spans="1:54" x14ac:dyDescent="0.25">
      <c r="A33" s="466" t="s">
        <v>10</v>
      </c>
      <c r="B33" s="5"/>
      <c r="C33" s="683"/>
      <c r="D33" s="3" t="s">
        <v>22</v>
      </c>
      <c r="E33" s="458">
        <v>2.6</v>
      </c>
      <c r="G33" s="482" t="s">
        <v>243</v>
      </c>
      <c r="S33" s="106"/>
      <c r="U33" s="476"/>
      <c r="V33" s="3" t="s">
        <v>243</v>
      </c>
      <c r="W33" s="480">
        <v>15.8</v>
      </c>
      <c r="X33" s="480">
        <v>15.2</v>
      </c>
      <c r="Y33" s="480">
        <v>13.2</v>
      </c>
      <c r="Z33" s="480">
        <v>10.5</v>
      </c>
      <c r="AA33" s="480">
        <v>9.3000000000000007</v>
      </c>
      <c r="AB33" s="480">
        <v>7.4</v>
      </c>
      <c r="AC33" s="480">
        <v>7</v>
      </c>
      <c r="AD33" s="480">
        <v>7.4</v>
      </c>
      <c r="AE33" s="480">
        <v>8.6</v>
      </c>
      <c r="AF33" s="480">
        <v>10.4</v>
      </c>
      <c r="AG33" s="480">
        <v>12.7</v>
      </c>
      <c r="AH33" s="480">
        <v>14.9</v>
      </c>
      <c r="AI33" s="480">
        <v>11</v>
      </c>
      <c r="AK33" t="s">
        <v>25</v>
      </c>
      <c r="AL33">
        <v>0.25</v>
      </c>
      <c r="AP33" s="308"/>
      <c r="AQ33" s="308"/>
      <c r="AR33" s="308"/>
      <c r="AS33" s="308"/>
      <c r="AT33" s="308"/>
      <c r="AU33" s="308"/>
      <c r="AV33" s="308"/>
      <c r="AW33" s="308"/>
      <c r="AX33" s="308"/>
      <c r="AZ33" s="687" t="s">
        <v>526</v>
      </c>
      <c r="BA33" s="688"/>
      <c r="BB33" s="688"/>
    </row>
    <row r="34" spans="1:54" x14ac:dyDescent="0.25">
      <c r="A34" s="469" t="str">
        <f>+"REGIÓN METROPOLITANA :"</f>
        <v>REGIÓN METROPOLITANA :</v>
      </c>
      <c r="B34" s="3"/>
      <c r="C34" s="683"/>
      <c r="D34" s="3" t="s">
        <v>23</v>
      </c>
      <c r="E34" s="458">
        <v>2.8</v>
      </c>
      <c r="G34" s="3" t="s">
        <v>238</v>
      </c>
      <c r="S34" s="106"/>
      <c r="U34" s="476"/>
      <c r="V34" s="3" t="s">
        <v>238</v>
      </c>
      <c r="W34" s="480">
        <v>15.2</v>
      </c>
      <c r="X34" s="480">
        <v>14.5</v>
      </c>
      <c r="Y34" s="480">
        <v>12.6</v>
      </c>
      <c r="Z34" s="480">
        <v>10.199999999999999</v>
      </c>
      <c r="AA34" s="480">
        <v>8.6999999999999993</v>
      </c>
      <c r="AB34" s="480">
        <v>6.7</v>
      </c>
      <c r="AC34" s="480">
        <v>6.5</v>
      </c>
      <c r="AD34" s="480">
        <v>7.1</v>
      </c>
      <c r="AE34" s="480">
        <v>8.1999999999999993</v>
      </c>
      <c r="AF34" s="480">
        <v>10.1</v>
      </c>
      <c r="AG34" s="480">
        <v>12.3</v>
      </c>
      <c r="AH34" s="480">
        <v>14.3</v>
      </c>
      <c r="AI34" s="480">
        <v>10.5</v>
      </c>
      <c r="AM34" s="12"/>
      <c r="AN34" s="15"/>
      <c r="AP34" s="308"/>
      <c r="AQ34" s="308"/>
      <c r="AR34" s="308"/>
      <c r="AS34" s="308"/>
      <c r="AT34" s="308"/>
      <c r="AU34" s="308"/>
      <c r="AV34" s="308"/>
      <c r="AW34" s="308"/>
      <c r="AX34" s="308"/>
      <c r="AZ34" s="305" t="s">
        <v>13</v>
      </c>
      <c r="BA34" s="306" t="s">
        <v>25</v>
      </c>
      <c r="BB34" s="307" t="s">
        <v>105</v>
      </c>
    </row>
    <row r="35" spans="1:54" x14ac:dyDescent="0.25">
      <c r="A35" s="466" t="s">
        <v>248</v>
      </c>
      <c r="B35" s="3"/>
      <c r="C35" s="683"/>
      <c r="D35" s="3" t="s">
        <v>24</v>
      </c>
      <c r="E35" s="458">
        <v>3.5</v>
      </c>
      <c r="G35" s="482" t="s">
        <v>706</v>
      </c>
      <c r="S35" s="106"/>
      <c r="U35" s="476"/>
      <c r="V35" s="3" t="s">
        <v>706</v>
      </c>
      <c r="W35" s="480">
        <v>14.3</v>
      </c>
      <c r="X35" s="480">
        <v>13.6</v>
      </c>
      <c r="Y35" s="480">
        <v>12.1</v>
      </c>
      <c r="Z35" s="480">
        <v>10.1</v>
      </c>
      <c r="AA35" s="480">
        <v>8.8000000000000007</v>
      </c>
      <c r="AB35" s="480">
        <v>6.7</v>
      </c>
      <c r="AC35" s="480">
        <v>6.6</v>
      </c>
      <c r="AD35" s="480">
        <v>6.8</v>
      </c>
      <c r="AE35" s="480">
        <v>7.8</v>
      </c>
      <c r="AF35" s="480">
        <v>9.6</v>
      </c>
      <c r="AG35" s="480">
        <v>11.6</v>
      </c>
      <c r="AH35" s="480">
        <v>13.4</v>
      </c>
      <c r="AI35" s="480">
        <v>10.1</v>
      </c>
      <c r="AK35" t="s">
        <v>105</v>
      </c>
      <c r="AL35">
        <v>0.04</v>
      </c>
      <c r="AN35" s="687" t="s">
        <v>574</v>
      </c>
      <c r="AO35" s="688"/>
      <c r="AP35" s="688"/>
      <c r="AQ35" s="688"/>
      <c r="AR35" s="688"/>
      <c r="AS35" s="688"/>
      <c r="AT35" s="688"/>
      <c r="AU35" s="688"/>
      <c r="AV35" s="688"/>
      <c r="AZ35" s="106" t="s">
        <v>14</v>
      </c>
      <c r="BA35" s="8">
        <v>0.12</v>
      </c>
      <c r="BB35" s="9">
        <v>0.05</v>
      </c>
    </row>
    <row r="36" spans="1:54" x14ac:dyDescent="0.25">
      <c r="A36" s="465" t="s">
        <v>249</v>
      </c>
      <c r="B36" s="3"/>
      <c r="C36" s="683" t="s">
        <v>4</v>
      </c>
      <c r="D36" s="3" t="str">
        <f>+"Provincia de Ñuble"</f>
        <v>Provincia de Ñuble</v>
      </c>
      <c r="E36" s="458">
        <v>3.8</v>
      </c>
      <c r="G36" s="3" t="s">
        <v>707</v>
      </c>
      <c r="S36" s="106"/>
      <c r="U36" s="476"/>
      <c r="V36" s="3" t="s">
        <v>707</v>
      </c>
      <c r="W36" s="480">
        <v>13.6</v>
      </c>
      <c r="X36" s="480">
        <v>13.2</v>
      </c>
      <c r="Y36" s="480">
        <v>11.5</v>
      </c>
      <c r="Z36" s="480">
        <v>9.1999999999999993</v>
      </c>
      <c r="AA36" s="480">
        <v>6.7</v>
      </c>
      <c r="AB36" s="480">
        <v>4.3</v>
      </c>
      <c r="AC36" s="480">
        <v>3.9</v>
      </c>
      <c r="AD36" s="480">
        <v>5.0999999999999996</v>
      </c>
      <c r="AE36" s="480">
        <v>6.9</v>
      </c>
      <c r="AF36" s="480">
        <v>9.1</v>
      </c>
      <c r="AG36" s="480">
        <v>11.4</v>
      </c>
      <c r="AH36" s="480">
        <v>12.9</v>
      </c>
      <c r="AI36" s="480">
        <v>9</v>
      </c>
      <c r="AN36" t="s">
        <v>509</v>
      </c>
      <c r="AO36" t="s">
        <v>510</v>
      </c>
      <c r="AP36" t="s">
        <v>511</v>
      </c>
      <c r="AQ36" t="s">
        <v>218</v>
      </c>
      <c r="AR36" t="s">
        <v>512</v>
      </c>
      <c r="AZ36" s="106" t="s">
        <v>15</v>
      </c>
      <c r="BA36" s="11">
        <v>0.09</v>
      </c>
      <c r="BB36" s="9">
        <v>0.05</v>
      </c>
    </row>
    <row r="37" spans="1:54" x14ac:dyDescent="0.25">
      <c r="A37" s="466" t="s">
        <v>250</v>
      </c>
      <c r="B37" s="3"/>
      <c r="C37" s="683"/>
      <c r="D37" s="3" t="str">
        <f>+"Provincia de Biobío"</f>
        <v>Provincia de Biobío</v>
      </c>
      <c r="E37" s="458">
        <v>4.8</v>
      </c>
      <c r="G37" s="482" t="s">
        <v>708</v>
      </c>
      <c r="S37" s="106"/>
      <c r="U37" s="476"/>
      <c r="V37" s="3" t="s">
        <v>708</v>
      </c>
      <c r="W37" s="480">
        <v>13.6</v>
      </c>
      <c r="X37" s="480">
        <v>13.2</v>
      </c>
      <c r="Y37" s="480">
        <v>11.2</v>
      </c>
      <c r="Z37" s="480">
        <v>8.1999999999999993</v>
      </c>
      <c r="AA37" s="480">
        <v>5.2</v>
      </c>
      <c r="AB37" s="480">
        <v>2.6</v>
      </c>
      <c r="AC37" s="480">
        <v>2</v>
      </c>
      <c r="AD37" s="480">
        <v>3.8</v>
      </c>
      <c r="AE37" s="480">
        <v>5.9</v>
      </c>
      <c r="AF37" s="480">
        <v>8.4</v>
      </c>
      <c r="AG37" s="480">
        <v>11</v>
      </c>
      <c r="AH37" s="480">
        <v>12.6</v>
      </c>
      <c r="AI37" s="480">
        <v>8.1</v>
      </c>
      <c r="AN37" t="s">
        <v>263</v>
      </c>
      <c r="AO37" t="s">
        <v>258</v>
      </c>
      <c r="AP37" t="s">
        <v>264</v>
      </c>
      <c r="AQ37" t="s">
        <v>260</v>
      </c>
      <c r="AR37" t="s">
        <v>598</v>
      </c>
      <c r="AZ37" s="106" t="s">
        <v>16</v>
      </c>
      <c r="BA37" s="8">
        <v>0.17</v>
      </c>
      <c r="BB37" s="9">
        <v>0.05</v>
      </c>
    </row>
    <row r="38" spans="1:54" x14ac:dyDescent="0.25">
      <c r="A38" s="465" t="s">
        <v>251</v>
      </c>
      <c r="B38" s="6"/>
      <c r="C38" s="683"/>
      <c r="D38" s="3" t="str">
        <f>+"Provincia de Concepción"</f>
        <v>Provincia de Concepción</v>
      </c>
      <c r="E38" s="458">
        <v>5.7</v>
      </c>
      <c r="G38" s="3" t="s">
        <v>709</v>
      </c>
      <c r="S38" s="106"/>
      <c r="U38" s="476"/>
      <c r="V38" s="3" t="s">
        <v>709</v>
      </c>
      <c r="W38" s="480">
        <v>11.9</v>
      </c>
      <c r="X38" s="480">
        <v>11.4</v>
      </c>
      <c r="Y38" s="480">
        <v>9.3000000000000007</v>
      </c>
      <c r="Z38" s="480">
        <v>6.5</v>
      </c>
      <c r="AA38" s="480">
        <v>1.3</v>
      </c>
      <c r="AB38" s="480">
        <v>0.8</v>
      </c>
      <c r="AC38" s="480">
        <v>0.2</v>
      </c>
      <c r="AD38" s="480">
        <v>2</v>
      </c>
      <c r="AE38" s="480">
        <v>4.3</v>
      </c>
      <c r="AF38" s="480">
        <v>6.6</v>
      </c>
      <c r="AG38" s="480">
        <v>9.1</v>
      </c>
      <c r="AH38" s="480">
        <v>10.8</v>
      </c>
      <c r="AI38" s="480">
        <v>6.4</v>
      </c>
      <c r="AN38" t="s">
        <v>513</v>
      </c>
      <c r="AO38" t="s">
        <v>259</v>
      </c>
      <c r="AQ38" t="s">
        <v>261</v>
      </c>
    </row>
    <row r="39" spans="1:54" x14ac:dyDescent="0.25">
      <c r="A39" s="466" t="s">
        <v>252</v>
      </c>
      <c r="B39" s="5"/>
      <c r="C39" s="683"/>
      <c r="D39" s="3" t="str">
        <f>+"Provincia de Arauco"</f>
        <v>Provincia de Arauco</v>
      </c>
      <c r="E39" s="458">
        <v>5.0999999999999996</v>
      </c>
      <c r="G39" s="482" t="s">
        <v>710</v>
      </c>
      <c r="S39" s="106"/>
      <c r="U39" s="476"/>
      <c r="V39" s="3" t="s">
        <v>710</v>
      </c>
      <c r="W39" s="480">
        <v>15.4</v>
      </c>
      <c r="X39" s="480">
        <v>15.3</v>
      </c>
      <c r="Y39" s="480">
        <v>12.3</v>
      </c>
      <c r="Z39" s="480">
        <v>8.8000000000000007</v>
      </c>
      <c r="AA39" s="480">
        <v>5.4</v>
      </c>
      <c r="AB39" s="480">
        <v>3</v>
      </c>
      <c r="AC39" s="480">
        <v>2.2999999999999998</v>
      </c>
      <c r="AD39" s="480">
        <v>3.7</v>
      </c>
      <c r="AE39" s="480">
        <v>6.4</v>
      </c>
      <c r="AF39" s="480">
        <v>9.3000000000000007</v>
      </c>
      <c r="AG39" s="480">
        <v>12.5</v>
      </c>
      <c r="AH39" s="480">
        <v>14.4</v>
      </c>
      <c r="AI39" s="480">
        <v>9</v>
      </c>
      <c r="AN39" t="s">
        <v>262</v>
      </c>
      <c r="AO39" t="s">
        <v>260</v>
      </c>
    </row>
    <row r="40" spans="1:54" ht="15" customHeight="1" x14ac:dyDescent="0.25">
      <c r="A40" s="465" t="s">
        <v>253</v>
      </c>
      <c r="B40" s="3"/>
      <c r="C40" s="683" t="s">
        <v>5</v>
      </c>
      <c r="D40" s="3" t="str">
        <f>+"Provincia de Malleco"</f>
        <v>Provincia de Malleco</v>
      </c>
      <c r="E40" s="458">
        <v>4.2</v>
      </c>
      <c r="G40" s="3" t="s">
        <v>711</v>
      </c>
      <c r="S40" s="106"/>
      <c r="U40" s="476"/>
      <c r="V40" s="3" t="s">
        <v>711</v>
      </c>
      <c r="W40" s="480">
        <v>13.6</v>
      </c>
      <c r="X40" s="480">
        <v>13.2</v>
      </c>
      <c r="Y40" s="480">
        <v>10.5</v>
      </c>
      <c r="Z40" s="480">
        <v>7.4</v>
      </c>
      <c r="AA40" s="480">
        <v>4</v>
      </c>
      <c r="AB40" s="480">
        <v>1.1000000000000001</v>
      </c>
      <c r="AC40" s="480">
        <v>0.9</v>
      </c>
      <c r="AD40" s="480">
        <v>3</v>
      </c>
      <c r="AE40" s="480">
        <v>5.8</v>
      </c>
      <c r="AF40" s="480">
        <v>8.5</v>
      </c>
      <c r="AG40" s="480">
        <v>11.1</v>
      </c>
      <c r="AH40" s="480">
        <v>12.7</v>
      </c>
      <c r="AI40" s="480">
        <v>7.7</v>
      </c>
      <c r="AO40" t="s">
        <v>261</v>
      </c>
      <c r="AS40">
        <v>1</v>
      </c>
      <c r="AT40">
        <v>2</v>
      </c>
    </row>
    <row r="41" spans="1:54" ht="15.75" thickBot="1" x14ac:dyDescent="0.3">
      <c r="A41" s="466" t="s">
        <v>10</v>
      </c>
      <c r="B41" s="3"/>
      <c r="C41" s="683"/>
      <c r="D41" s="3" t="str">
        <f>+"Provincia de Cautín"</f>
        <v>Provincia de Cautín</v>
      </c>
      <c r="E41" s="458">
        <v>3.9</v>
      </c>
      <c r="G41" s="482" t="s">
        <v>712</v>
      </c>
      <c r="S41" s="106"/>
      <c r="U41" s="476"/>
      <c r="V41" s="3" t="s">
        <v>712</v>
      </c>
      <c r="W41" s="480">
        <v>10.5</v>
      </c>
      <c r="X41" s="480">
        <v>10.1</v>
      </c>
      <c r="Y41" s="480">
        <v>8.1999999999999993</v>
      </c>
      <c r="Z41" s="480">
        <v>6</v>
      </c>
      <c r="AA41" s="480">
        <v>3.4</v>
      </c>
      <c r="AB41" s="480">
        <v>1.5</v>
      </c>
      <c r="AC41" s="480">
        <v>1.1000000000000001</v>
      </c>
      <c r="AD41" s="480">
        <v>2</v>
      </c>
      <c r="AE41" s="480">
        <v>4</v>
      </c>
      <c r="AF41" s="480">
        <v>6.4</v>
      </c>
      <c r="AG41" s="480">
        <v>8.1999999999999993</v>
      </c>
      <c r="AH41" s="480">
        <v>9.6999999999999993</v>
      </c>
      <c r="AI41" s="480">
        <v>5.9</v>
      </c>
      <c r="AS41" s="680" t="s">
        <v>733</v>
      </c>
      <c r="AT41" s="681"/>
    </row>
    <row r="42" spans="1:54" ht="15" customHeight="1" x14ac:dyDescent="0.25">
      <c r="A42" s="469" t="str">
        <f>+"REGIÓN DEL LIBERTADOR GENERAL BERNARDO O´HIGGINS :"</f>
        <v>REGIÓN DEL LIBERTADOR GENERAL BERNARDO O´HIGGINS :</v>
      </c>
      <c r="B42" s="3"/>
      <c r="C42" s="683" t="s">
        <v>6</v>
      </c>
      <c r="D42" s="3" t="str">
        <f>+"Provincia de Valdivia"</f>
        <v>Provincia de Valdivia</v>
      </c>
      <c r="E42" s="458">
        <v>3.5</v>
      </c>
      <c r="G42" s="3" t="s">
        <v>713</v>
      </c>
      <c r="S42" s="106"/>
      <c r="U42" s="476"/>
      <c r="V42" s="3" t="s">
        <v>713</v>
      </c>
      <c r="W42" s="480">
        <v>7.2</v>
      </c>
      <c r="X42" s="480">
        <v>7.5</v>
      </c>
      <c r="Y42" s="480">
        <v>6.6</v>
      </c>
      <c r="Z42" s="480">
        <v>5.6</v>
      </c>
      <c r="AA42" s="480">
        <v>5.4</v>
      </c>
      <c r="AB42" s="480">
        <v>3.7</v>
      </c>
      <c r="AC42" s="480">
        <v>3.2</v>
      </c>
      <c r="AD42" s="480">
        <v>3.2</v>
      </c>
      <c r="AE42" s="480">
        <v>3.6</v>
      </c>
      <c r="AF42" s="480">
        <v>4.7</v>
      </c>
      <c r="AG42" s="480">
        <v>5.5</v>
      </c>
      <c r="AH42" s="480">
        <v>6.5</v>
      </c>
      <c r="AI42" s="480">
        <v>5.0999999999999996</v>
      </c>
      <c r="AL42" s="7" t="s">
        <v>236</v>
      </c>
      <c r="AM42" s="345" t="s">
        <v>590</v>
      </c>
      <c r="AN42" s="345" t="s">
        <v>591</v>
      </c>
      <c r="AO42" s="345" t="s">
        <v>592</v>
      </c>
      <c r="AR42" s="484" t="s">
        <v>744</v>
      </c>
      <c r="AS42" t="s">
        <v>731</v>
      </c>
      <c r="AT42" t="s">
        <v>732</v>
      </c>
      <c r="AU42" s="484" t="s">
        <v>750</v>
      </c>
    </row>
    <row r="43" spans="1:54" x14ac:dyDescent="0.25">
      <c r="A43" s="466" t="str">
        <f>+"Provincia de Cachapoal"</f>
        <v>Provincia de Cachapoal</v>
      </c>
      <c r="B43" s="3"/>
      <c r="C43" s="683"/>
      <c r="D43" s="3" t="str">
        <f>+"Provincia del Ranco"</f>
        <v>Provincia del Ranco</v>
      </c>
      <c r="E43" s="458">
        <v>5.0999999999999996</v>
      </c>
      <c r="G43" s="482" t="s">
        <v>714</v>
      </c>
      <c r="S43" s="106"/>
      <c r="U43" s="476"/>
      <c r="V43" s="3" t="s">
        <v>714</v>
      </c>
      <c r="W43" s="480">
        <v>1.5</v>
      </c>
      <c r="X43" s="480">
        <v>1.6</v>
      </c>
      <c r="Y43" s="480">
        <v>0.5</v>
      </c>
      <c r="Z43" s="480">
        <v>-2</v>
      </c>
      <c r="AA43" s="480">
        <v>-4</v>
      </c>
      <c r="AB43" s="480">
        <v>-5.7</v>
      </c>
      <c r="AC43" s="480">
        <v>-5.6</v>
      </c>
      <c r="AD43" s="480">
        <v>-6.7</v>
      </c>
      <c r="AE43" s="480">
        <v>-4.4000000000000004</v>
      </c>
      <c r="AF43" s="480">
        <v>-2.5</v>
      </c>
      <c r="AG43" s="480">
        <v>-1</v>
      </c>
      <c r="AH43" s="480">
        <v>0.6</v>
      </c>
      <c r="AI43" s="480">
        <v>-2.2999999999999998</v>
      </c>
      <c r="AL43" t="s">
        <v>240</v>
      </c>
      <c r="AR43">
        <v>-20</v>
      </c>
      <c r="AS43">
        <v>0.35</v>
      </c>
      <c r="AT43">
        <v>0.4</v>
      </c>
      <c r="AU43">
        <v>20</v>
      </c>
    </row>
    <row r="44" spans="1:54" x14ac:dyDescent="0.25">
      <c r="A44" s="465" t="str">
        <f>+"Provincia de Colchagua"</f>
        <v>Provincia de Colchagua</v>
      </c>
      <c r="C44" s="683" t="s">
        <v>7</v>
      </c>
      <c r="D44" s="3" t="str">
        <f>+"Provincia de Osorno"</f>
        <v>Provincia de Osorno</v>
      </c>
      <c r="E44" s="458">
        <v>3.4</v>
      </c>
      <c r="G44" s="3" t="s">
        <v>715</v>
      </c>
      <c r="S44" s="106"/>
      <c r="U44" s="476"/>
      <c r="V44" s="3" t="s">
        <v>715</v>
      </c>
      <c r="W44" s="480">
        <v>1.2</v>
      </c>
      <c r="X44" s="480">
        <v>1.3</v>
      </c>
      <c r="Y44" s="480">
        <v>0.2</v>
      </c>
      <c r="Z44" s="480">
        <v>-2</v>
      </c>
      <c r="AA44" s="480">
        <v>-4</v>
      </c>
      <c r="AB44" s="480">
        <v>-5.7</v>
      </c>
      <c r="AC44" s="480">
        <v>-6.7</v>
      </c>
      <c r="AD44" s="480">
        <v>-6.7</v>
      </c>
      <c r="AE44" s="480">
        <v>-4.5999999999999996</v>
      </c>
      <c r="AF44" s="480">
        <v>-2.8</v>
      </c>
      <c r="AG44" s="480">
        <v>-1</v>
      </c>
      <c r="AH44" s="480">
        <v>0.6</v>
      </c>
      <c r="AI44" s="480">
        <v>-2.5</v>
      </c>
      <c r="AL44" t="s">
        <v>237</v>
      </c>
      <c r="AR44">
        <v>-10</v>
      </c>
      <c r="AS44">
        <v>0.35</v>
      </c>
      <c r="AT44">
        <v>0.4</v>
      </c>
      <c r="AU44">
        <v>20</v>
      </c>
    </row>
    <row r="45" spans="1:54" x14ac:dyDescent="0.25">
      <c r="A45" s="466" t="str">
        <f>+"Provincia de Cardenal Caro"</f>
        <v>Provincia de Cardenal Caro</v>
      </c>
      <c r="C45" s="683"/>
      <c r="D45" s="3" t="str">
        <f>+"Provincia de Llanquihue"</f>
        <v>Provincia de Llanquihue</v>
      </c>
      <c r="E45" s="458">
        <v>3.9</v>
      </c>
      <c r="G45" s="529" t="s">
        <v>716</v>
      </c>
      <c r="S45" s="106"/>
      <c r="U45" s="476"/>
      <c r="V45" s="3" t="s">
        <v>716</v>
      </c>
      <c r="W45" s="480">
        <v>0.5</v>
      </c>
      <c r="X45" s="480">
        <v>0.1</v>
      </c>
      <c r="Y45" s="480">
        <v>-1.4</v>
      </c>
      <c r="Z45" s="480">
        <v>-4.0999999999999996</v>
      </c>
      <c r="AA45" s="480">
        <v>-6.3</v>
      </c>
      <c r="AB45" s="480">
        <v>-8</v>
      </c>
      <c r="AC45" s="480">
        <v>-8.5</v>
      </c>
      <c r="AD45" s="480">
        <v>-8.4</v>
      </c>
      <c r="AE45" s="480">
        <v>-5.6</v>
      </c>
      <c r="AF45" s="480">
        <v>-3.5</v>
      </c>
      <c r="AG45" s="480">
        <v>-1.7</v>
      </c>
      <c r="AH45" s="480">
        <v>0.1</v>
      </c>
      <c r="AI45" s="480">
        <v>-3.9</v>
      </c>
      <c r="AL45" t="s">
        <v>238</v>
      </c>
      <c r="AR45">
        <v>0</v>
      </c>
      <c r="AS45">
        <f>0.01*AR45+0.45</f>
        <v>0.45</v>
      </c>
      <c r="AT45">
        <f>0.01*AR45+0.5</f>
        <v>0.5</v>
      </c>
      <c r="AU45">
        <v>20</v>
      </c>
      <c r="AW45" t="s">
        <v>751</v>
      </c>
      <c r="AX45" t="s">
        <v>579</v>
      </c>
      <c r="AY45" t="s">
        <v>753</v>
      </c>
      <c r="AZ45" t="s">
        <v>752</v>
      </c>
    </row>
    <row r="46" spans="1:54" x14ac:dyDescent="0.25">
      <c r="A46" s="465" t="s">
        <v>10</v>
      </c>
      <c r="C46" s="683"/>
      <c r="D46" s="3" t="str">
        <f>+"Provincia de Chiloé"</f>
        <v>Provincia de Chiloé</v>
      </c>
      <c r="E46" s="458">
        <v>4</v>
      </c>
      <c r="S46" s="106"/>
      <c r="U46" s="476"/>
      <c r="V46" s="3"/>
      <c r="W46" s="481"/>
      <c r="X46" s="481"/>
      <c r="Y46" s="481"/>
      <c r="Z46" s="481"/>
      <c r="AA46" s="481"/>
      <c r="AB46" s="481"/>
      <c r="AC46" s="481"/>
      <c r="AD46" s="481"/>
      <c r="AE46" s="481"/>
      <c r="AF46" s="481"/>
      <c r="AG46" s="481"/>
      <c r="AH46" s="481"/>
      <c r="AI46" s="481"/>
      <c r="AL46" t="s">
        <v>239</v>
      </c>
      <c r="AR46">
        <v>10</v>
      </c>
      <c r="AS46">
        <f t="shared" ref="AS46:AS47" si="0">0.01*AR46+0.45</f>
        <v>0.55000000000000004</v>
      </c>
      <c r="AT46">
        <f t="shared" ref="AT46:AT47" si="1">0.01*AR46+0.5</f>
        <v>0.6</v>
      </c>
      <c r="AU46">
        <v>20</v>
      </c>
      <c r="AW46">
        <f>AX46*AY46+AZ46</f>
        <v>0.45</v>
      </c>
      <c r="AX46">
        <v>0.01</v>
      </c>
      <c r="AY46">
        <v>0</v>
      </c>
      <c r="AZ46">
        <v>0.45</v>
      </c>
    </row>
    <row r="47" spans="1:54" x14ac:dyDescent="0.25">
      <c r="A47" s="470" t="str">
        <f>+"REGIÓN DEL MAULE :"</f>
        <v>REGIÓN DEL MAULE :</v>
      </c>
      <c r="C47" s="683"/>
      <c r="D47" s="3" t="str">
        <f>+"Provincia de Palena"</f>
        <v>Provincia de Palena</v>
      </c>
      <c r="E47" s="458">
        <v>-5.6</v>
      </c>
      <c r="S47" s="106"/>
      <c r="U47" s="476"/>
      <c r="V47" s="3"/>
      <c r="W47" s="481"/>
      <c r="X47" s="481"/>
      <c r="Y47" s="481"/>
      <c r="Z47" s="481"/>
      <c r="AA47" s="481"/>
      <c r="AB47" s="481"/>
      <c r="AC47" s="481"/>
      <c r="AD47" s="481"/>
      <c r="AE47" s="481"/>
      <c r="AF47" s="481"/>
      <c r="AG47" s="481"/>
      <c r="AH47" s="481"/>
      <c r="AI47" s="481"/>
      <c r="AL47" t="s">
        <v>241</v>
      </c>
      <c r="AR47">
        <v>20</v>
      </c>
      <c r="AS47">
        <f t="shared" si="0"/>
        <v>0.65</v>
      </c>
      <c r="AT47">
        <f t="shared" si="1"/>
        <v>0.7</v>
      </c>
      <c r="AU47">
        <v>25</v>
      </c>
    </row>
    <row r="48" spans="1:54" ht="15" customHeight="1" x14ac:dyDescent="0.25">
      <c r="A48" s="465" t="s">
        <v>21</v>
      </c>
      <c r="C48" s="683" t="s">
        <v>8</v>
      </c>
      <c r="D48" s="3" t="str">
        <f>+"Provincia de Coyhaique"</f>
        <v>Provincia de Coyhaique</v>
      </c>
      <c r="E48" s="458">
        <v>-0.4</v>
      </c>
      <c r="S48" s="106"/>
      <c r="U48" s="476"/>
      <c r="V48" s="3"/>
      <c r="AL48" t="s">
        <v>242</v>
      </c>
      <c r="AR48">
        <v>30</v>
      </c>
      <c r="AS48">
        <v>0.65</v>
      </c>
      <c r="AT48">
        <v>0.7</v>
      </c>
      <c r="AU48">
        <v>25</v>
      </c>
    </row>
    <row r="49" spans="1:49" x14ac:dyDescent="0.25">
      <c r="A49" s="466" t="str">
        <f>+"Provincia de Talca"</f>
        <v>Provincia de Talca</v>
      </c>
      <c r="C49" s="683"/>
      <c r="D49" s="3" t="str">
        <f>+"Provincia de Aysén"</f>
        <v>Provincia de Aysén</v>
      </c>
      <c r="E49" s="458">
        <v>1.8</v>
      </c>
      <c r="S49" s="106"/>
      <c r="U49" s="476"/>
      <c r="V49" s="3"/>
      <c r="AL49" t="s">
        <v>243</v>
      </c>
    </row>
    <row r="50" spans="1:49" x14ac:dyDescent="0.25">
      <c r="A50" s="465" t="str">
        <f>+"Provincia de Linares"</f>
        <v>Provincia de Linares</v>
      </c>
      <c r="C50" s="683"/>
      <c r="D50" s="3" t="str">
        <f>+"Provincia de General Carrera"</f>
        <v>Provincia de General Carrera</v>
      </c>
      <c r="E50" s="458">
        <v>-0.7</v>
      </c>
      <c r="S50" s="106"/>
      <c r="U50" s="476"/>
      <c r="V50" s="3"/>
      <c r="AL50" t="s">
        <v>244</v>
      </c>
      <c r="AS50" s="681" t="s">
        <v>734</v>
      </c>
      <c r="AT50" s="681"/>
      <c r="AU50" s="681"/>
      <c r="AV50" s="681"/>
      <c r="AW50" s="681"/>
    </row>
    <row r="51" spans="1:49" x14ac:dyDescent="0.25">
      <c r="A51" s="466" t="str">
        <f>+"Provincia de Cauquenes"</f>
        <v>Provincia de Cauquenes</v>
      </c>
      <c r="C51" s="683"/>
      <c r="D51" s="3" t="str">
        <f>+"Provincia de Capitán Prat"</f>
        <v>Provincia de Capitán Prat</v>
      </c>
      <c r="E51" s="458">
        <v>-1.6</v>
      </c>
      <c r="S51" s="106"/>
      <c r="U51" s="476"/>
      <c r="V51" s="3"/>
      <c r="AL51" t="s">
        <v>245</v>
      </c>
      <c r="AR51" s="484" t="s">
        <v>744</v>
      </c>
      <c r="AS51">
        <v>1</v>
      </c>
      <c r="AT51">
        <v>2</v>
      </c>
      <c r="AU51">
        <v>3</v>
      </c>
      <c r="AV51">
        <v>4</v>
      </c>
      <c r="AW51">
        <v>5</v>
      </c>
    </row>
    <row r="52" spans="1:49" ht="15" customHeight="1" x14ac:dyDescent="0.25">
      <c r="A52" s="465" t="s">
        <v>10</v>
      </c>
      <c r="C52" s="683" t="s">
        <v>9</v>
      </c>
      <c r="D52" s="3" t="str">
        <f>+"Provincia de Última Esperanza"</f>
        <v>Provincia de Última Esperanza</v>
      </c>
      <c r="E52" s="458">
        <v>-1.3</v>
      </c>
      <c r="S52" s="106"/>
      <c r="U52" s="476"/>
      <c r="V52" s="3"/>
      <c r="AL52" t="s">
        <v>246</v>
      </c>
      <c r="AR52">
        <v>-5</v>
      </c>
      <c r="AS52">
        <v>2E-3</v>
      </c>
      <c r="AT52">
        <v>4.0000000000000001E-3</v>
      </c>
      <c r="AU52">
        <v>6.0000000000000001E-3</v>
      </c>
      <c r="AV52">
        <v>8.0000000000000002E-3</v>
      </c>
      <c r="AW52">
        <v>0.01</v>
      </c>
    </row>
    <row r="53" spans="1:49" x14ac:dyDescent="0.25">
      <c r="A53" s="470" t="str">
        <f>+"REGIÓN DEL BIOBÍO :"</f>
        <v>REGIÓN DEL BIOBÍO :</v>
      </c>
      <c r="C53" s="683"/>
      <c r="D53" s="3" t="str">
        <f>+"Provincia de Magallanes"</f>
        <v>Provincia de Magallanes</v>
      </c>
      <c r="E53" s="458">
        <v>-1.1000000000000001</v>
      </c>
      <c r="S53" s="106"/>
      <c r="U53" s="476"/>
      <c r="V53" s="3"/>
      <c r="AL53" t="s">
        <v>684</v>
      </c>
      <c r="AR53">
        <v>0</v>
      </c>
      <c r="AS53">
        <v>2E-3</v>
      </c>
      <c r="AT53">
        <v>4.0000000000000001E-3</v>
      </c>
      <c r="AU53">
        <v>6.0000000000000001E-3</v>
      </c>
      <c r="AV53">
        <v>8.0000000000000002E-3</v>
      </c>
      <c r="AW53">
        <v>0.01</v>
      </c>
    </row>
    <row r="54" spans="1:49" x14ac:dyDescent="0.25">
      <c r="A54" s="465" t="str">
        <f>+"Provincia de Ñuble"</f>
        <v>Provincia de Ñuble</v>
      </c>
      <c r="C54" s="683"/>
      <c r="D54" s="3" t="str">
        <f>+"Provincia de Tierra del Fuego"</f>
        <v>Provincia de Tierra del Fuego</v>
      </c>
      <c r="E54" s="458">
        <v>-0.5</v>
      </c>
      <c r="S54" s="106"/>
      <c r="U54" s="476"/>
      <c r="V54" s="3"/>
      <c r="AR54">
        <v>5</v>
      </c>
      <c r="AS54" s="226">
        <f>(AS$58-AS$53)/($AR$58-$AR$53)*$AR54+AS$53</f>
        <v>1.6000000000000001E-3</v>
      </c>
      <c r="AT54" s="226">
        <f t="shared" ref="AT54:AW54" si="2">(AT$58-AT$53)/($AR$58-$AR$53)*$AR54+AT$53</f>
        <v>3.2000000000000002E-3</v>
      </c>
      <c r="AU54" s="226">
        <f t="shared" si="2"/>
        <v>4.8000000000000004E-3</v>
      </c>
      <c r="AV54" s="226">
        <f t="shared" si="2"/>
        <v>6.4000000000000003E-3</v>
      </c>
      <c r="AW54" s="226">
        <f t="shared" si="2"/>
        <v>8.0000000000000002E-3</v>
      </c>
    </row>
    <row r="55" spans="1:49" ht="15.75" thickBot="1" x14ac:dyDescent="0.3">
      <c r="A55" s="466" t="str">
        <f>+"Provincia de Biobío"</f>
        <v>Provincia de Biobío</v>
      </c>
      <c r="C55" s="691"/>
      <c r="D55" s="109" t="str">
        <f>+"Provincia de la Antártica Chilena"</f>
        <v>Provincia de la Antártica Chilena</v>
      </c>
      <c r="E55" s="459">
        <v>-0.7</v>
      </c>
      <c r="F55" s="459"/>
      <c r="G55" s="459"/>
      <c r="H55" s="108"/>
      <c r="I55" s="108"/>
      <c r="J55" s="108"/>
      <c r="K55" s="108"/>
      <c r="L55" s="108"/>
      <c r="M55" s="108"/>
      <c r="N55" s="108"/>
      <c r="O55" s="108"/>
      <c r="P55" s="108"/>
      <c r="Q55" s="108"/>
      <c r="R55" s="108"/>
      <c r="S55" s="107"/>
      <c r="U55" s="478"/>
      <c r="V55" s="109"/>
      <c r="AR55">
        <v>10</v>
      </c>
      <c r="AS55" s="226">
        <f t="shared" ref="AS55:AW57" si="3">(AS$58-AS$53)/($AR$58-$AR$53)*$AR55+AS$53</f>
        <v>1.2000000000000001E-3</v>
      </c>
      <c r="AT55" s="226">
        <f t="shared" si="3"/>
        <v>2.4000000000000002E-3</v>
      </c>
      <c r="AU55" s="226">
        <f t="shared" si="3"/>
        <v>3.5999999999999999E-3</v>
      </c>
      <c r="AV55" s="226">
        <f t="shared" si="3"/>
        <v>4.8000000000000004E-3</v>
      </c>
      <c r="AW55" s="226">
        <f t="shared" si="3"/>
        <v>6.0000000000000001E-3</v>
      </c>
    </row>
    <row r="56" spans="1:49" ht="15.75" customHeight="1" thickBot="1" x14ac:dyDescent="0.3">
      <c r="A56" s="465" t="str">
        <f>+"Provincia de Concepción"</f>
        <v>Provincia de Concepción</v>
      </c>
      <c r="AR56">
        <v>15</v>
      </c>
      <c r="AS56" s="226">
        <f t="shared" si="3"/>
        <v>7.9999999999999993E-4</v>
      </c>
      <c r="AT56" s="226">
        <f t="shared" si="3"/>
        <v>1.5999999999999999E-3</v>
      </c>
      <c r="AU56" s="226">
        <f t="shared" si="3"/>
        <v>2.4000000000000002E-3</v>
      </c>
      <c r="AV56" s="226">
        <f t="shared" si="3"/>
        <v>3.1999999999999997E-3</v>
      </c>
      <c r="AW56" s="226">
        <f t="shared" si="3"/>
        <v>4.0000000000000001E-3</v>
      </c>
    </row>
    <row r="57" spans="1:49" x14ac:dyDescent="0.25">
      <c r="A57" s="466" t="str">
        <f>+"Provincia de Arauco"</f>
        <v>Provincia de Arauco</v>
      </c>
      <c r="W57">
        <v>1</v>
      </c>
      <c r="X57">
        <v>2</v>
      </c>
      <c r="Y57">
        <v>3</v>
      </c>
      <c r="Z57">
        <v>4</v>
      </c>
      <c r="AA57">
        <v>5</v>
      </c>
      <c r="AB57">
        <v>6</v>
      </c>
      <c r="AC57">
        <v>7</v>
      </c>
      <c r="AD57">
        <v>8</v>
      </c>
      <c r="AE57">
        <v>9</v>
      </c>
      <c r="AF57">
        <v>10</v>
      </c>
      <c r="AG57">
        <v>11</v>
      </c>
      <c r="AH57">
        <v>12</v>
      </c>
      <c r="AK57" s="7" t="s">
        <v>229</v>
      </c>
      <c r="AM57" s="685" t="s">
        <v>756</v>
      </c>
      <c r="AN57" s="686"/>
      <c r="AR57">
        <v>20</v>
      </c>
      <c r="AS57" s="226">
        <f t="shared" si="3"/>
        <v>3.9999999999999996E-4</v>
      </c>
      <c r="AT57" s="226">
        <f t="shared" si="3"/>
        <v>7.9999999999999993E-4</v>
      </c>
      <c r="AU57" s="226">
        <f t="shared" si="3"/>
        <v>1.1999999999999997E-3</v>
      </c>
      <c r="AV57" s="226">
        <f t="shared" si="3"/>
        <v>1.5999999999999999E-3</v>
      </c>
      <c r="AW57" s="226">
        <f t="shared" si="3"/>
        <v>2E-3</v>
      </c>
    </row>
    <row r="58" spans="1:49" ht="15.75" thickBot="1" x14ac:dyDescent="0.3">
      <c r="A58" s="465" t="s">
        <v>10</v>
      </c>
      <c r="AK58" s="10" t="s">
        <v>853</v>
      </c>
      <c r="AM58">
        <v>1</v>
      </c>
      <c r="AN58" t="s">
        <v>758</v>
      </c>
      <c r="AR58">
        <v>25</v>
      </c>
      <c r="AS58">
        <v>0</v>
      </c>
      <c r="AT58">
        <v>0</v>
      </c>
      <c r="AU58">
        <v>0</v>
      </c>
      <c r="AV58">
        <v>0</v>
      </c>
      <c r="AW58">
        <v>0</v>
      </c>
    </row>
    <row r="59" spans="1:49" x14ac:dyDescent="0.25">
      <c r="A59" s="470" t="str">
        <f>+"REGIÓN DE LA ARAUCANÍA :"</f>
        <v>REGIÓN DE LA ARAUCANÍA :</v>
      </c>
      <c r="C59" s="687" t="s">
        <v>687</v>
      </c>
      <c r="D59" s="688"/>
      <c r="E59" s="688"/>
      <c r="F59" s="688"/>
      <c r="G59" s="688"/>
      <c r="H59" s="688"/>
      <c r="I59" s="688"/>
      <c r="J59" s="688"/>
      <c r="K59" s="688"/>
      <c r="L59" s="688"/>
      <c r="M59" s="688"/>
      <c r="N59" s="688"/>
      <c r="O59" s="688"/>
      <c r="P59" s="688"/>
      <c r="Q59" s="688"/>
      <c r="R59" s="688"/>
      <c r="S59" s="688"/>
      <c r="V59" s="678" t="s">
        <v>770</v>
      </c>
      <c r="W59" s="679"/>
      <c r="X59" s="679"/>
      <c r="Y59" s="679"/>
      <c r="Z59" s="679"/>
      <c r="AA59" s="679"/>
      <c r="AB59" s="679"/>
      <c r="AC59" s="679"/>
      <c r="AD59" s="679"/>
      <c r="AE59" s="679"/>
      <c r="AF59" s="679"/>
      <c r="AG59" s="679"/>
      <c r="AH59" s="679"/>
      <c r="AI59" s="679"/>
      <c r="AM59">
        <v>2</v>
      </c>
      <c r="AN59" t="s">
        <v>759</v>
      </c>
    </row>
    <row r="60" spans="1:49" ht="15.75" customHeight="1" thickBot="1" x14ac:dyDescent="0.3">
      <c r="A60" s="465" t="str">
        <f>+"Provincia de Malleco"</f>
        <v>Provincia de Malleco</v>
      </c>
      <c r="C60" s="454" t="s">
        <v>677</v>
      </c>
      <c r="D60" s="2" t="s">
        <v>1</v>
      </c>
      <c r="E60" s="5" t="s">
        <v>132</v>
      </c>
      <c r="F60" s="5"/>
      <c r="G60" s="472" t="s">
        <v>730</v>
      </c>
      <c r="H60" s="2" t="s">
        <v>138</v>
      </c>
      <c r="I60" s="2" t="s">
        <v>139</v>
      </c>
      <c r="J60" s="2" t="s">
        <v>140</v>
      </c>
      <c r="K60" s="2" t="s">
        <v>141</v>
      </c>
      <c r="L60" s="2" t="s">
        <v>142</v>
      </c>
      <c r="M60" s="2" t="s">
        <v>143</v>
      </c>
      <c r="N60" s="2" t="s">
        <v>132</v>
      </c>
      <c r="O60" s="2" t="s">
        <v>133</v>
      </c>
      <c r="P60" s="2" t="s">
        <v>134</v>
      </c>
      <c r="Q60" s="2" t="s">
        <v>135</v>
      </c>
      <c r="R60" s="2" t="s">
        <v>136</v>
      </c>
      <c r="S60" s="2" t="s">
        <v>137</v>
      </c>
      <c r="U60" s="454"/>
      <c r="V60" s="455" t="s">
        <v>730</v>
      </c>
      <c r="W60" s="472" t="s">
        <v>138</v>
      </c>
      <c r="X60" s="472" t="s">
        <v>139</v>
      </c>
      <c r="Y60" s="472" t="s">
        <v>140</v>
      </c>
      <c r="Z60" s="472" t="s">
        <v>141</v>
      </c>
      <c r="AA60" s="472" t="s">
        <v>142</v>
      </c>
      <c r="AB60" s="472" t="s">
        <v>143</v>
      </c>
      <c r="AC60" s="472" t="s">
        <v>132</v>
      </c>
      <c r="AD60" s="472" t="s">
        <v>133</v>
      </c>
      <c r="AE60" s="472" t="s">
        <v>134</v>
      </c>
      <c r="AF60" s="472" t="s">
        <v>135</v>
      </c>
      <c r="AG60" s="472" t="s">
        <v>136</v>
      </c>
      <c r="AH60" s="473" t="s">
        <v>137</v>
      </c>
      <c r="AI60" s="479" t="s">
        <v>717</v>
      </c>
      <c r="AM60">
        <v>3</v>
      </c>
      <c r="AN60" t="s">
        <v>778</v>
      </c>
      <c r="AS60" s="681" t="s">
        <v>735</v>
      </c>
      <c r="AT60" s="681"/>
      <c r="AU60" s="681"/>
      <c r="AV60" s="681"/>
      <c r="AW60" s="681"/>
    </row>
    <row r="61" spans="1:49" x14ac:dyDescent="0.25">
      <c r="A61" s="466" t="str">
        <f>+"Provincia de Cautín"</f>
        <v>Provincia de Cautín</v>
      </c>
      <c r="C61" s="684" t="s">
        <v>674</v>
      </c>
      <c r="D61" s="453" t="s">
        <v>676</v>
      </c>
      <c r="E61" s="458">
        <v>0.73</v>
      </c>
      <c r="G61" s="526" t="s">
        <v>676</v>
      </c>
      <c r="H61" s="2"/>
      <c r="I61" s="2"/>
      <c r="J61" s="2"/>
      <c r="K61" s="2"/>
      <c r="L61" s="2"/>
      <c r="M61" s="2"/>
      <c r="N61" s="2"/>
      <c r="O61" s="2"/>
      <c r="P61" s="2"/>
      <c r="Q61" s="2"/>
      <c r="R61" s="2"/>
      <c r="S61" s="2"/>
      <c r="U61" s="453"/>
      <c r="V61" s="453" t="s">
        <v>676</v>
      </c>
      <c r="W61" s="530">
        <v>0.71</v>
      </c>
      <c r="X61" s="530">
        <v>0.71</v>
      </c>
      <c r="Y61" s="530">
        <v>0.73</v>
      </c>
      <c r="Z61" s="530">
        <v>0.74</v>
      </c>
      <c r="AA61" s="530">
        <v>0.76</v>
      </c>
      <c r="AB61" s="530">
        <v>0.77</v>
      </c>
      <c r="AC61" s="530">
        <v>0.78</v>
      </c>
      <c r="AD61" s="530">
        <v>0.78</v>
      </c>
      <c r="AE61" s="530">
        <v>0.77</v>
      </c>
      <c r="AF61" s="530">
        <v>0.75</v>
      </c>
      <c r="AG61" s="530">
        <v>0.72</v>
      </c>
      <c r="AH61" s="530">
        <v>0.71</v>
      </c>
      <c r="AI61" s="530">
        <v>0.74</v>
      </c>
      <c r="AM61">
        <v>4</v>
      </c>
      <c r="AN61" t="s">
        <v>764</v>
      </c>
      <c r="AR61" s="484" t="s">
        <v>744</v>
      </c>
      <c r="AS61">
        <v>1</v>
      </c>
      <c r="AT61">
        <v>2</v>
      </c>
      <c r="AU61">
        <v>3</v>
      </c>
      <c r="AV61">
        <v>4</v>
      </c>
      <c r="AW61">
        <v>5</v>
      </c>
    </row>
    <row r="62" spans="1:49" x14ac:dyDescent="0.25">
      <c r="A62" s="465" t="s">
        <v>10</v>
      </c>
      <c r="C62" s="683"/>
      <c r="D62" t="s">
        <v>675</v>
      </c>
      <c r="E62" s="458">
        <v>0.73</v>
      </c>
      <c r="G62" t="s">
        <v>673</v>
      </c>
      <c r="H62" s="2"/>
      <c r="I62" s="2"/>
      <c r="J62" s="2"/>
      <c r="K62" s="2"/>
      <c r="L62" s="2"/>
      <c r="M62" s="2"/>
      <c r="N62" s="2"/>
      <c r="O62" s="2"/>
      <c r="P62" s="2"/>
      <c r="Q62" s="2"/>
      <c r="R62" s="2"/>
      <c r="S62" s="2"/>
      <c r="V62" t="s">
        <v>673</v>
      </c>
      <c r="W62" s="530">
        <v>0.71</v>
      </c>
      <c r="X62" s="530">
        <v>0.72</v>
      </c>
      <c r="Y62" s="530">
        <v>0.74</v>
      </c>
      <c r="Z62" s="530">
        <v>0.76</v>
      </c>
      <c r="AA62" s="530">
        <v>0.76</v>
      </c>
      <c r="AB62" s="530">
        <v>0.77</v>
      </c>
      <c r="AC62" s="530">
        <v>0.77</v>
      </c>
      <c r="AD62" s="530">
        <v>0.76</v>
      </c>
      <c r="AE62" s="530">
        <v>0.76</v>
      </c>
      <c r="AF62" s="530">
        <v>0.73</v>
      </c>
      <c r="AG62" s="530">
        <v>0.72</v>
      </c>
      <c r="AH62" s="530">
        <v>0.71</v>
      </c>
      <c r="AI62" s="530">
        <v>0.74</v>
      </c>
      <c r="AR62">
        <v>-5</v>
      </c>
      <c r="AS62">
        <v>270</v>
      </c>
      <c r="AT62">
        <v>540</v>
      </c>
      <c r="AU62">
        <v>810</v>
      </c>
      <c r="AV62">
        <v>1080</v>
      </c>
      <c r="AW62">
        <v>1360</v>
      </c>
    </row>
    <row r="63" spans="1:49" x14ac:dyDescent="0.25">
      <c r="A63" s="470" t="str">
        <f>+"REGIÓN DE LOS RÍOS :"</f>
        <v>REGIÓN DE LOS RÍOS :</v>
      </c>
      <c r="C63" s="682" t="s">
        <v>671</v>
      </c>
      <c r="D63" s="3" t="s">
        <v>673</v>
      </c>
      <c r="E63" s="458">
        <v>0.69</v>
      </c>
      <c r="G63" s="482" t="s">
        <v>691</v>
      </c>
      <c r="H63" s="2"/>
      <c r="I63" s="2"/>
      <c r="J63" s="2"/>
      <c r="K63" s="2"/>
      <c r="L63" s="2"/>
      <c r="M63" s="2"/>
      <c r="N63" s="2"/>
      <c r="O63" s="2"/>
      <c r="P63" s="2"/>
      <c r="Q63" s="2"/>
      <c r="R63" s="2"/>
      <c r="S63" s="2"/>
      <c r="U63" s="3"/>
      <c r="V63" s="3" t="s">
        <v>691</v>
      </c>
      <c r="W63" s="530">
        <v>0.42</v>
      </c>
      <c r="X63" s="530">
        <v>0.47</v>
      </c>
      <c r="Y63" s="530">
        <v>0.47</v>
      </c>
      <c r="Z63" s="530">
        <v>0.39</v>
      </c>
      <c r="AA63" s="530">
        <v>0.34</v>
      </c>
      <c r="AB63" s="530">
        <v>0.34</v>
      </c>
      <c r="AC63" s="530">
        <v>0.33</v>
      </c>
      <c r="AD63" s="530">
        <v>0.31</v>
      </c>
      <c r="AE63" s="530">
        <v>0.32</v>
      </c>
      <c r="AF63" s="530">
        <v>0.32</v>
      </c>
      <c r="AG63" s="530">
        <v>0.31</v>
      </c>
      <c r="AH63" s="530">
        <v>0.36</v>
      </c>
      <c r="AI63" s="530">
        <v>0.37</v>
      </c>
      <c r="AM63" s="484" t="s">
        <v>757</v>
      </c>
      <c r="AR63">
        <v>0</v>
      </c>
      <c r="AS63">
        <v>270</v>
      </c>
      <c r="AT63">
        <v>540</v>
      </c>
      <c r="AU63">
        <v>810</v>
      </c>
      <c r="AV63">
        <v>1080</v>
      </c>
      <c r="AW63">
        <v>1360</v>
      </c>
    </row>
    <row r="64" spans="1:49" x14ac:dyDescent="0.25">
      <c r="A64" s="465" t="str">
        <f>+"Provincia de Valdivia"</f>
        <v>Provincia de Valdivia</v>
      </c>
      <c r="C64" s="682"/>
      <c r="D64" s="3" t="s">
        <v>672</v>
      </c>
      <c r="E64" s="458">
        <v>0.69</v>
      </c>
      <c r="G64" s="3" t="s">
        <v>668</v>
      </c>
      <c r="H64" s="2"/>
      <c r="I64" s="2"/>
      <c r="J64" s="2"/>
      <c r="K64" s="2"/>
      <c r="L64" s="2"/>
      <c r="M64" s="2"/>
      <c r="N64" s="2"/>
      <c r="O64" s="2"/>
      <c r="P64" s="2"/>
      <c r="Q64" s="2"/>
      <c r="R64" s="2"/>
      <c r="S64" s="2"/>
      <c r="U64" s="3"/>
      <c r="V64" s="3" t="s">
        <v>668</v>
      </c>
      <c r="W64" s="530">
        <v>0.75</v>
      </c>
      <c r="X64" s="530">
        <v>0.76</v>
      </c>
      <c r="Y64" s="530">
        <v>0.78</v>
      </c>
      <c r="Z64" s="530">
        <v>0.79</v>
      </c>
      <c r="AA64" s="530">
        <v>0.79</v>
      </c>
      <c r="AB64" s="530">
        <v>0.79</v>
      </c>
      <c r="AC64" s="530">
        <v>0.79</v>
      </c>
      <c r="AD64" s="530">
        <v>0.78</v>
      </c>
      <c r="AE64" s="530">
        <v>0.78</v>
      </c>
      <c r="AF64" s="530">
        <v>0.76</v>
      </c>
      <c r="AG64" s="530">
        <v>0.75</v>
      </c>
      <c r="AH64" s="530">
        <v>0.74</v>
      </c>
      <c r="AI64" s="530">
        <v>0.77</v>
      </c>
      <c r="AM64" s="484">
        <v>1</v>
      </c>
      <c r="AN64" t="s">
        <v>760</v>
      </c>
      <c r="AR64">
        <v>5</v>
      </c>
      <c r="AS64" s="485">
        <f>(AS$68-AS$63)/($AR$68-$AR$63)*$AR64+AS$63</f>
        <v>216</v>
      </c>
      <c r="AT64" s="485">
        <f t="shared" ref="AT64:AW64" si="4">(AT$68-AT$63)/($AR$68-$AR$63)*$AR64+AT$63</f>
        <v>432</v>
      </c>
      <c r="AU64" s="485">
        <f t="shared" si="4"/>
        <v>648</v>
      </c>
      <c r="AV64" s="485">
        <f t="shared" si="4"/>
        <v>864</v>
      </c>
      <c r="AW64" s="485">
        <f t="shared" si="4"/>
        <v>1088</v>
      </c>
    </row>
    <row r="65" spans="1:49" x14ac:dyDescent="0.25">
      <c r="A65" s="466" t="str">
        <f>+"Provincia del Ranco"</f>
        <v>Provincia del Ranco</v>
      </c>
      <c r="C65" s="682" t="s">
        <v>669</v>
      </c>
      <c r="D65" t="s">
        <v>668</v>
      </c>
      <c r="E65" s="458">
        <v>0.73</v>
      </c>
      <c r="G65" s="527" t="s">
        <v>692</v>
      </c>
      <c r="H65" s="2"/>
      <c r="I65" s="2"/>
      <c r="J65" s="2"/>
      <c r="K65" s="2"/>
      <c r="L65" s="2"/>
      <c r="M65" s="2"/>
      <c r="N65" s="2"/>
      <c r="O65" s="2"/>
      <c r="P65" s="2"/>
      <c r="Q65" s="2"/>
      <c r="R65" s="2"/>
      <c r="S65" s="2"/>
      <c r="V65" t="s">
        <v>692</v>
      </c>
      <c r="W65" s="530">
        <v>0.77</v>
      </c>
      <c r="X65" s="530">
        <v>0.79</v>
      </c>
      <c r="Y65" s="530">
        <v>0.79</v>
      </c>
      <c r="Z65" s="530">
        <v>0.81</v>
      </c>
      <c r="AA65" s="530">
        <v>0.81</v>
      </c>
      <c r="AB65" s="530">
        <v>0.81</v>
      </c>
      <c r="AC65" s="530">
        <v>0.8</v>
      </c>
      <c r="AD65" s="530">
        <v>0.8</v>
      </c>
      <c r="AE65" s="530">
        <v>0.79</v>
      </c>
      <c r="AF65" s="530">
        <v>0.77</v>
      </c>
      <c r="AG65" s="530">
        <v>0.77</v>
      </c>
      <c r="AH65" s="530">
        <v>0.78</v>
      </c>
      <c r="AI65" s="530">
        <v>0.79</v>
      </c>
      <c r="AM65" s="484">
        <v>2</v>
      </c>
      <c r="AN65" t="s">
        <v>764</v>
      </c>
      <c r="AR65">
        <v>10</v>
      </c>
      <c r="AS65" s="485">
        <f t="shared" ref="AS65:AW67" si="5">(AS$68-AS$63)/($AR$68-$AR$63)*$AR65+AS$63</f>
        <v>162</v>
      </c>
      <c r="AT65" s="485">
        <f t="shared" si="5"/>
        <v>324</v>
      </c>
      <c r="AU65" s="485">
        <f t="shared" si="5"/>
        <v>486</v>
      </c>
      <c r="AV65" s="485">
        <f t="shared" si="5"/>
        <v>648</v>
      </c>
      <c r="AW65" s="485">
        <f t="shared" si="5"/>
        <v>816</v>
      </c>
    </row>
    <row r="66" spans="1:49" x14ac:dyDescent="0.25">
      <c r="A66" s="465" t="s">
        <v>10</v>
      </c>
      <c r="C66" s="682"/>
      <c r="D66" t="s">
        <v>670</v>
      </c>
      <c r="E66" s="458">
        <v>0.27</v>
      </c>
      <c r="G66" t="s">
        <v>664</v>
      </c>
      <c r="H66" s="2"/>
      <c r="I66" s="2"/>
      <c r="J66" s="2"/>
      <c r="K66" s="2"/>
      <c r="L66" s="2"/>
      <c r="M66" s="2"/>
      <c r="N66" s="2"/>
      <c r="O66" s="2"/>
      <c r="P66" s="2"/>
      <c r="Q66" s="2"/>
      <c r="R66" s="2"/>
      <c r="S66" s="2"/>
      <c r="V66" t="s">
        <v>664</v>
      </c>
      <c r="W66" s="530">
        <v>0.7</v>
      </c>
      <c r="X66" s="530">
        <v>0.71</v>
      </c>
      <c r="Y66" s="530">
        <v>0.75</v>
      </c>
      <c r="Z66" s="530">
        <v>0.77</v>
      </c>
      <c r="AA66" s="530">
        <v>0.78</v>
      </c>
      <c r="AB66" s="530">
        <v>0.78</v>
      </c>
      <c r="AC66" s="530">
        <v>0.76</v>
      </c>
      <c r="AD66" s="530">
        <v>0.77</v>
      </c>
      <c r="AE66" s="530">
        <v>0.75</v>
      </c>
      <c r="AF66" s="530">
        <v>0.74</v>
      </c>
      <c r="AG66" s="530">
        <v>0.72</v>
      </c>
      <c r="AH66" s="530">
        <v>0.7</v>
      </c>
      <c r="AI66" s="530">
        <v>0.74</v>
      </c>
      <c r="AR66">
        <v>15</v>
      </c>
      <c r="AS66" s="485">
        <f t="shared" si="5"/>
        <v>108</v>
      </c>
      <c r="AT66" s="485">
        <f t="shared" si="5"/>
        <v>216</v>
      </c>
      <c r="AU66" s="485">
        <f t="shared" si="5"/>
        <v>324</v>
      </c>
      <c r="AV66" s="485">
        <f t="shared" si="5"/>
        <v>432</v>
      </c>
      <c r="AW66" s="485">
        <f t="shared" si="5"/>
        <v>544</v>
      </c>
    </row>
    <row r="67" spans="1:49" x14ac:dyDescent="0.25">
      <c r="A67" s="470" t="str">
        <f>+"REGIÓN DE LOS LAGOS :"</f>
        <v>REGIÓN DE LOS LAGOS :</v>
      </c>
      <c r="C67" s="682"/>
      <c r="D67" t="s">
        <v>667</v>
      </c>
      <c r="E67" s="458">
        <v>0.73</v>
      </c>
      <c r="G67" s="527" t="s">
        <v>693</v>
      </c>
      <c r="H67" s="2"/>
      <c r="I67" s="2"/>
      <c r="J67" s="2"/>
      <c r="K67" s="2"/>
      <c r="L67" s="2"/>
      <c r="M67" s="2"/>
      <c r="N67" s="2"/>
      <c r="O67" s="2"/>
      <c r="P67" s="2"/>
      <c r="Q67" s="2"/>
      <c r="R67" s="2"/>
      <c r="S67" s="2"/>
      <c r="V67" t="s">
        <v>693</v>
      </c>
      <c r="W67" s="530">
        <v>0.68</v>
      </c>
      <c r="X67" s="530">
        <v>0.7</v>
      </c>
      <c r="Y67" s="530">
        <v>0.73</v>
      </c>
      <c r="Z67" s="530">
        <v>0.74</v>
      </c>
      <c r="AA67" s="530">
        <v>0.73</v>
      </c>
      <c r="AB67" s="530">
        <v>0.69</v>
      </c>
      <c r="AC67" s="530">
        <v>0.69</v>
      </c>
      <c r="AD67" s="530">
        <v>0.69</v>
      </c>
      <c r="AE67" s="530">
        <v>0.69</v>
      </c>
      <c r="AF67" s="530">
        <v>0.69</v>
      </c>
      <c r="AG67" s="530">
        <v>0.7</v>
      </c>
      <c r="AH67" s="530">
        <v>0.68</v>
      </c>
      <c r="AI67" s="530">
        <v>0.7</v>
      </c>
      <c r="AM67" t="s">
        <v>805</v>
      </c>
      <c r="AR67">
        <v>20</v>
      </c>
      <c r="AS67" s="485">
        <f t="shared" si="5"/>
        <v>54</v>
      </c>
      <c r="AT67" s="485">
        <f t="shared" si="5"/>
        <v>108</v>
      </c>
      <c r="AU67" s="485">
        <f t="shared" si="5"/>
        <v>162</v>
      </c>
      <c r="AV67" s="485">
        <f t="shared" si="5"/>
        <v>216</v>
      </c>
      <c r="AW67" s="485">
        <f t="shared" si="5"/>
        <v>272</v>
      </c>
    </row>
    <row r="68" spans="1:49" x14ac:dyDescent="0.25">
      <c r="A68" s="465" t="str">
        <f>+"Provincia de Osorno"</f>
        <v>Provincia de Osorno</v>
      </c>
      <c r="C68" s="682" t="s">
        <v>666</v>
      </c>
      <c r="D68" t="s">
        <v>665</v>
      </c>
      <c r="E68" s="458">
        <v>0.76</v>
      </c>
      <c r="G68" t="s">
        <v>694</v>
      </c>
      <c r="H68" s="2"/>
      <c r="I68" s="2"/>
      <c r="J68" s="2"/>
      <c r="K68" s="2"/>
      <c r="L68" s="2"/>
      <c r="M68" s="2"/>
      <c r="N68" s="2"/>
      <c r="O68" s="2"/>
      <c r="P68" s="2"/>
      <c r="Q68" s="2"/>
      <c r="R68" s="2"/>
      <c r="S68" s="2"/>
      <c r="V68" t="s">
        <v>694</v>
      </c>
      <c r="W68" s="530">
        <v>0.8</v>
      </c>
      <c r="X68" s="530">
        <v>0.82</v>
      </c>
      <c r="Y68" s="530">
        <v>0.85</v>
      </c>
      <c r="Z68" s="530">
        <v>0.86</v>
      </c>
      <c r="AA68" s="530">
        <v>0.85</v>
      </c>
      <c r="AB68" s="530">
        <v>0.84</v>
      </c>
      <c r="AC68" s="530">
        <v>0.84</v>
      </c>
      <c r="AD68" s="530">
        <v>0.85</v>
      </c>
      <c r="AE68" s="530">
        <v>0.84</v>
      </c>
      <c r="AF68" s="530">
        <v>0.82</v>
      </c>
      <c r="AG68" s="530">
        <v>0.81</v>
      </c>
      <c r="AH68" s="530">
        <v>0.8</v>
      </c>
      <c r="AI68" s="530">
        <v>0.83</v>
      </c>
      <c r="AM68">
        <v>1</v>
      </c>
      <c r="AN68" t="s">
        <v>763</v>
      </c>
      <c r="AR68">
        <v>25</v>
      </c>
      <c r="AS68">
        <v>0</v>
      </c>
      <c r="AT68">
        <v>0</v>
      </c>
      <c r="AU68">
        <v>0</v>
      </c>
      <c r="AV68">
        <v>0</v>
      </c>
      <c r="AW68">
        <v>0</v>
      </c>
    </row>
    <row r="69" spans="1:49" x14ac:dyDescent="0.25">
      <c r="A69" s="466" t="str">
        <f>+"Provincia de Llanquihue"</f>
        <v>Provincia de Llanquihue</v>
      </c>
      <c r="C69" s="682"/>
      <c r="D69" t="s">
        <v>664</v>
      </c>
      <c r="E69" s="458">
        <v>0.76</v>
      </c>
      <c r="G69" s="482" t="s">
        <v>722</v>
      </c>
      <c r="H69" s="2"/>
      <c r="I69" s="2"/>
      <c r="J69" s="2"/>
      <c r="K69" s="2"/>
      <c r="L69" s="2"/>
      <c r="M69" s="2"/>
      <c r="N69" s="2"/>
      <c r="O69" s="2"/>
      <c r="P69" s="2"/>
      <c r="Q69" s="2"/>
      <c r="R69" s="2"/>
      <c r="S69" s="2"/>
      <c r="U69" s="3"/>
      <c r="V69" s="482" t="s">
        <v>722</v>
      </c>
      <c r="W69" s="530"/>
      <c r="X69" s="530"/>
      <c r="Y69" s="530"/>
      <c r="Z69" s="530"/>
      <c r="AA69" s="530"/>
      <c r="AB69" s="530"/>
      <c r="AC69" s="530"/>
      <c r="AD69" s="530"/>
      <c r="AE69" s="530"/>
      <c r="AF69" s="530"/>
      <c r="AG69" s="530"/>
      <c r="AH69" s="530"/>
      <c r="AI69" s="530"/>
      <c r="AM69">
        <v>2</v>
      </c>
      <c r="AN69" t="s">
        <v>764</v>
      </c>
    </row>
    <row r="70" spans="1:49" x14ac:dyDescent="0.25">
      <c r="A70" s="465" t="str">
        <f>+"Provincia de Chiloé"</f>
        <v>Provincia de Chiloé</v>
      </c>
      <c r="C70" s="682"/>
      <c r="D70" t="s">
        <v>663</v>
      </c>
      <c r="E70" s="458">
        <v>0.76</v>
      </c>
      <c r="G70" s="3" t="s">
        <v>720</v>
      </c>
      <c r="H70" s="2"/>
      <c r="I70" s="2"/>
      <c r="J70" s="2"/>
      <c r="K70" s="2"/>
      <c r="L70" s="2"/>
      <c r="M70" s="2"/>
      <c r="N70" s="2"/>
      <c r="O70" s="2"/>
      <c r="P70" s="2"/>
      <c r="Q70" s="2"/>
      <c r="R70" s="2"/>
      <c r="S70" s="2"/>
      <c r="U70" s="3"/>
      <c r="V70" s="3" t="s">
        <v>720</v>
      </c>
      <c r="W70" s="530"/>
      <c r="X70" s="530"/>
      <c r="Y70" s="530"/>
      <c r="Z70" s="530"/>
      <c r="AA70" s="530"/>
      <c r="AB70" s="530"/>
      <c r="AC70" s="530"/>
      <c r="AD70" s="530"/>
      <c r="AE70" s="530"/>
      <c r="AF70" s="530"/>
      <c r="AG70" s="530"/>
      <c r="AH70" s="530"/>
      <c r="AI70" s="530"/>
      <c r="AR70" t="s">
        <v>736</v>
      </c>
    </row>
    <row r="71" spans="1:49" x14ac:dyDescent="0.25">
      <c r="A71" s="466" t="str">
        <f>+"Provincia de Palena"</f>
        <v>Provincia de Palena</v>
      </c>
      <c r="C71" s="682" t="s">
        <v>662</v>
      </c>
      <c r="D71" t="s">
        <v>661</v>
      </c>
      <c r="E71" s="458">
        <v>0.85</v>
      </c>
      <c r="G71" s="482" t="s">
        <v>652</v>
      </c>
      <c r="H71" s="2"/>
      <c r="I71" s="2"/>
      <c r="J71" s="2"/>
      <c r="K71" s="2"/>
      <c r="L71" s="2"/>
      <c r="M71" s="2"/>
      <c r="N71" s="2"/>
      <c r="O71" s="2"/>
      <c r="P71" s="2"/>
      <c r="Q71" s="2"/>
      <c r="R71" s="2"/>
      <c r="S71" s="2"/>
      <c r="U71" s="3"/>
      <c r="V71" s="482" t="s">
        <v>652</v>
      </c>
      <c r="W71" s="530"/>
      <c r="X71" s="530"/>
      <c r="Y71" s="530"/>
      <c r="Z71" s="530"/>
      <c r="AA71" s="530"/>
      <c r="AB71" s="530"/>
      <c r="AC71" s="530"/>
      <c r="AD71" s="530"/>
      <c r="AE71" s="530"/>
      <c r="AF71" s="530"/>
      <c r="AG71" s="530"/>
      <c r="AH71" s="530"/>
      <c r="AI71" s="530"/>
      <c r="AN71" t="s">
        <v>799</v>
      </c>
      <c r="AR71">
        <v>1</v>
      </c>
      <c r="AS71" t="s">
        <v>737</v>
      </c>
    </row>
    <row r="72" spans="1:49" x14ac:dyDescent="0.25">
      <c r="A72" s="465" t="s">
        <v>10</v>
      </c>
      <c r="C72" s="682"/>
      <c r="D72" t="s">
        <v>660</v>
      </c>
      <c r="E72" s="458">
        <v>0.85</v>
      </c>
      <c r="G72" s="3" t="s">
        <v>656</v>
      </c>
      <c r="H72" s="2"/>
      <c r="I72" s="2"/>
      <c r="J72" s="2"/>
      <c r="K72" s="2"/>
      <c r="L72" s="2"/>
      <c r="M72" s="2"/>
      <c r="N72" s="2"/>
      <c r="O72" s="2"/>
      <c r="P72" s="2"/>
      <c r="Q72" s="2"/>
      <c r="R72" s="2"/>
      <c r="S72" s="2"/>
      <c r="U72" s="3"/>
      <c r="V72" s="3" t="s">
        <v>656</v>
      </c>
      <c r="W72" s="530"/>
      <c r="X72" s="530"/>
      <c r="Y72" s="530"/>
      <c r="Z72" s="530"/>
      <c r="AA72" s="530"/>
      <c r="AB72" s="530"/>
      <c r="AC72" s="530"/>
      <c r="AD72" s="530"/>
      <c r="AE72" s="530"/>
      <c r="AF72" s="530"/>
      <c r="AG72" s="530"/>
      <c r="AH72" s="530"/>
      <c r="AI72" s="530"/>
      <c r="AL72">
        <v>1</v>
      </c>
      <c r="AM72" t="s">
        <v>138</v>
      </c>
      <c r="AN72">
        <v>31</v>
      </c>
      <c r="AO72">
        <v>1</v>
      </c>
      <c r="AR72">
        <v>2</v>
      </c>
      <c r="AS72" t="s">
        <v>738</v>
      </c>
    </row>
    <row r="73" spans="1:49" x14ac:dyDescent="0.25">
      <c r="A73" s="470" t="str">
        <f>+"REGIÓN DE AYSÉN DEL GENERAL CARLOS IBAÑEZ DEL CAMPO :"</f>
        <v>REGIÓN DE AYSÉN DEL GENERAL CARLOS IBAÑEZ DEL CAMPO :</v>
      </c>
      <c r="C73" s="682"/>
      <c r="D73" t="s">
        <v>659</v>
      </c>
      <c r="E73" s="458">
        <v>0.85</v>
      </c>
      <c r="G73" s="482" t="s">
        <v>721</v>
      </c>
      <c r="H73" s="2"/>
      <c r="I73" s="2"/>
      <c r="J73" s="2"/>
      <c r="K73" s="2"/>
      <c r="L73" s="2"/>
      <c r="M73" s="2"/>
      <c r="N73" s="2"/>
      <c r="O73" s="2"/>
      <c r="P73" s="2"/>
      <c r="Q73" s="2"/>
      <c r="R73" s="2"/>
      <c r="S73" s="2"/>
      <c r="U73" s="3"/>
      <c r="V73" s="482" t="s">
        <v>721</v>
      </c>
      <c r="W73" s="530"/>
      <c r="X73" s="530"/>
      <c r="Y73" s="530"/>
      <c r="Z73" s="530"/>
      <c r="AA73" s="530"/>
      <c r="AB73" s="530"/>
      <c r="AC73" s="530"/>
      <c r="AD73" s="530"/>
      <c r="AE73" s="530"/>
      <c r="AF73" s="530"/>
      <c r="AG73" s="530"/>
      <c r="AH73" s="530"/>
      <c r="AI73" s="530"/>
      <c r="AL73">
        <v>2</v>
      </c>
      <c r="AM73" t="s">
        <v>139</v>
      </c>
      <c r="AN73">
        <v>28</v>
      </c>
      <c r="AO73">
        <v>2</v>
      </c>
      <c r="AR73">
        <v>3</v>
      </c>
      <c r="AS73" t="s">
        <v>739</v>
      </c>
    </row>
    <row r="74" spans="1:49" x14ac:dyDescent="0.25">
      <c r="A74" s="465" t="str">
        <f>+"Provincia de Coyhaique"</f>
        <v>Provincia de Coyhaique</v>
      </c>
      <c r="C74" s="682" t="s">
        <v>658</v>
      </c>
      <c r="D74" t="s">
        <v>657</v>
      </c>
      <c r="E74" s="458">
        <v>0.85</v>
      </c>
      <c r="G74" t="s">
        <v>695</v>
      </c>
      <c r="H74" s="2"/>
      <c r="I74" s="2"/>
      <c r="J74" s="2"/>
      <c r="K74" s="2"/>
      <c r="L74" s="2"/>
      <c r="M74" s="2"/>
      <c r="N74" s="2"/>
      <c r="O74" s="2"/>
      <c r="P74" s="2"/>
      <c r="Q74" s="2"/>
      <c r="R74" s="2"/>
      <c r="S74" s="2"/>
      <c r="U74" s="3"/>
      <c r="V74" t="s">
        <v>695</v>
      </c>
      <c r="W74" s="530">
        <v>0.82</v>
      </c>
      <c r="X74" s="530">
        <v>0.84</v>
      </c>
      <c r="Y74" s="530">
        <v>0.96</v>
      </c>
      <c r="Z74" s="530">
        <v>0.88</v>
      </c>
      <c r="AA74" s="530">
        <v>0.89</v>
      </c>
      <c r="AB74" s="530">
        <v>0.89</v>
      </c>
      <c r="AC74" s="530">
        <v>0.89</v>
      </c>
      <c r="AD74" s="530">
        <v>0.88</v>
      </c>
      <c r="AE74" s="530">
        <v>0.86</v>
      </c>
      <c r="AF74" s="530">
        <v>0.86</v>
      </c>
      <c r="AG74" s="530">
        <v>0.84</v>
      </c>
      <c r="AH74" s="530">
        <v>0.82</v>
      </c>
      <c r="AI74" s="530">
        <v>0.87</v>
      </c>
      <c r="AL74">
        <v>3</v>
      </c>
      <c r="AM74" t="s">
        <v>140</v>
      </c>
      <c r="AN74">
        <v>31</v>
      </c>
      <c r="AO74">
        <v>3</v>
      </c>
      <c r="AR74">
        <v>4</v>
      </c>
      <c r="AS74" t="s">
        <v>740</v>
      </c>
    </row>
    <row r="75" spans="1:49" x14ac:dyDescent="0.25">
      <c r="A75" s="466" t="str">
        <f>+"Provincia de Aysén"</f>
        <v>Provincia de Aysén</v>
      </c>
      <c r="C75" s="682"/>
      <c r="D75" t="s">
        <v>656</v>
      </c>
      <c r="E75" s="458">
        <v>0.9</v>
      </c>
      <c r="G75" s="527" t="s">
        <v>651</v>
      </c>
      <c r="H75" s="2"/>
      <c r="I75" s="2"/>
      <c r="J75" s="2"/>
      <c r="K75" s="2"/>
      <c r="L75" s="2"/>
      <c r="M75" s="2"/>
      <c r="N75" s="2"/>
      <c r="O75" s="2"/>
      <c r="P75" s="2"/>
      <c r="Q75" s="2"/>
      <c r="R75" s="2"/>
      <c r="S75" s="2"/>
      <c r="U75" s="3"/>
      <c r="V75" t="s">
        <v>651</v>
      </c>
      <c r="W75" s="530">
        <v>0.78</v>
      </c>
      <c r="X75" s="530">
        <v>0.8</v>
      </c>
      <c r="Y75" s="530">
        <v>0.81</v>
      </c>
      <c r="Z75" s="530">
        <v>0.83</v>
      </c>
      <c r="AA75" s="530">
        <v>0.83</v>
      </c>
      <c r="AB75" s="530">
        <v>0.84</v>
      </c>
      <c r="AC75" s="530">
        <v>0.84</v>
      </c>
      <c r="AD75" s="530">
        <v>0.84</v>
      </c>
      <c r="AE75" s="530">
        <v>0.83</v>
      </c>
      <c r="AF75" s="530">
        <v>0.82</v>
      </c>
      <c r="AG75" s="530">
        <v>0.79</v>
      </c>
      <c r="AH75" s="530">
        <v>0.78</v>
      </c>
      <c r="AI75" s="530">
        <v>0.82</v>
      </c>
      <c r="AL75">
        <v>4</v>
      </c>
      <c r="AM75" t="s">
        <v>141</v>
      </c>
      <c r="AN75">
        <v>30</v>
      </c>
      <c r="AO75">
        <v>4</v>
      </c>
      <c r="AR75">
        <v>5</v>
      </c>
      <c r="AS75" t="s">
        <v>741</v>
      </c>
    </row>
    <row r="76" spans="1:49" x14ac:dyDescent="0.25">
      <c r="A76" s="465" t="str">
        <f>+"Provincia de General Carrera"</f>
        <v>Provincia de General Carrera</v>
      </c>
      <c r="C76" s="682"/>
      <c r="D76" t="s">
        <v>654</v>
      </c>
      <c r="E76" s="458">
        <v>0.9</v>
      </c>
      <c r="G76" t="s">
        <v>696</v>
      </c>
      <c r="H76" s="2"/>
      <c r="I76" s="2"/>
      <c r="J76" s="2"/>
      <c r="K76" s="2"/>
      <c r="L76" s="2"/>
      <c r="M76" s="2"/>
      <c r="N76" s="2"/>
      <c r="O76" s="2"/>
      <c r="P76" s="2"/>
      <c r="Q76" s="2"/>
      <c r="R76" s="2"/>
      <c r="S76" s="2"/>
      <c r="U76" s="3"/>
      <c r="V76" t="s">
        <v>696</v>
      </c>
      <c r="W76" s="530">
        <v>0.56999999999999995</v>
      </c>
      <c r="X76" s="530">
        <v>0.62</v>
      </c>
      <c r="Y76" s="530">
        <v>0.67</v>
      </c>
      <c r="Z76" s="530">
        <v>0.73</v>
      </c>
      <c r="AA76" s="530">
        <v>0.8</v>
      </c>
      <c r="AB76" s="530">
        <v>0.84</v>
      </c>
      <c r="AC76" s="530">
        <v>0.84</v>
      </c>
      <c r="AD76" s="530">
        <v>0.82</v>
      </c>
      <c r="AE76" s="530">
        <v>0.79</v>
      </c>
      <c r="AF76" s="530">
        <v>0.72</v>
      </c>
      <c r="AG76" s="530">
        <v>0.63</v>
      </c>
      <c r="AH76" s="530">
        <v>0.57999999999999996</v>
      </c>
      <c r="AI76" s="530">
        <v>0.72</v>
      </c>
      <c r="AL76">
        <v>5</v>
      </c>
      <c r="AM76" t="s">
        <v>142</v>
      </c>
      <c r="AN76">
        <v>31</v>
      </c>
      <c r="AO76">
        <v>5</v>
      </c>
    </row>
    <row r="77" spans="1:49" x14ac:dyDescent="0.25">
      <c r="A77" s="466" t="str">
        <f>+"Provincia de Capitán Prat"</f>
        <v>Provincia de Capitán Prat</v>
      </c>
      <c r="C77" s="682"/>
      <c r="D77" s="3" t="s">
        <v>655</v>
      </c>
      <c r="E77" s="458">
        <v>0.9</v>
      </c>
      <c r="G77" s="527" t="s">
        <v>697</v>
      </c>
      <c r="H77" s="2"/>
      <c r="I77" s="2"/>
      <c r="J77" s="2"/>
      <c r="K77" s="2"/>
      <c r="L77" s="2"/>
      <c r="M77" s="2"/>
      <c r="N77" s="2"/>
      <c r="O77" s="2"/>
      <c r="P77" s="2"/>
      <c r="Q77" s="2"/>
      <c r="R77" s="2"/>
      <c r="S77" s="2"/>
      <c r="U77" s="3"/>
      <c r="V77" t="s">
        <v>697</v>
      </c>
      <c r="W77" s="530">
        <v>0.56999999999999995</v>
      </c>
      <c r="X77" s="530">
        <v>0.61</v>
      </c>
      <c r="Y77" s="530">
        <v>0.68</v>
      </c>
      <c r="Z77" s="530">
        <v>0.74</v>
      </c>
      <c r="AA77" s="530">
        <v>0.8</v>
      </c>
      <c r="AB77" s="530">
        <v>0.84</v>
      </c>
      <c r="AC77" s="530">
        <v>0.84</v>
      </c>
      <c r="AD77" s="530">
        <v>0.81</v>
      </c>
      <c r="AE77" s="530">
        <v>0.76</v>
      </c>
      <c r="AF77" s="530">
        <v>0.7</v>
      </c>
      <c r="AG77" s="530">
        <v>0.62</v>
      </c>
      <c r="AH77" s="530">
        <v>0.56999999999999995</v>
      </c>
      <c r="AI77" s="530">
        <v>0.71</v>
      </c>
      <c r="AL77">
        <v>6</v>
      </c>
      <c r="AM77" t="s">
        <v>143</v>
      </c>
      <c r="AN77">
        <v>30</v>
      </c>
      <c r="AO77">
        <v>6</v>
      </c>
    </row>
    <row r="78" spans="1:49" x14ac:dyDescent="0.25">
      <c r="A78" s="465" t="s">
        <v>10</v>
      </c>
      <c r="C78" s="682"/>
      <c r="D78" t="s">
        <v>653</v>
      </c>
      <c r="E78" s="458">
        <v>0.9</v>
      </c>
      <c r="G78" t="s">
        <v>698</v>
      </c>
      <c r="H78" s="2"/>
      <c r="I78" s="2"/>
      <c r="J78" s="2"/>
      <c r="K78" s="2"/>
      <c r="L78" s="2"/>
      <c r="M78" s="2"/>
      <c r="N78" s="2"/>
      <c r="O78" s="2"/>
      <c r="P78" s="2"/>
      <c r="Q78" s="2"/>
      <c r="R78" s="2"/>
      <c r="S78" s="2"/>
      <c r="U78" s="3"/>
      <c r="V78" t="s">
        <v>698</v>
      </c>
      <c r="W78" s="530">
        <v>0.57999999999999996</v>
      </c>
      <c r="X78" s="530">
        <v>0.62</v>
      </c>
      <c r="Y78" s="530">
        <v>0.66</v>
      </c>
      <c r="Z78" s="530">
        <v>0.71</v>
      </c>
      <c r="AA78" s="530">
        <v>0.79</v>
      </c>
      <c r="AB78" s="530">
        <v>0.83</v>
      </c>
      <c r="AC78" s="530">
        <v>0.83</v>
      </c>
      <c r="AD78" s="530">
        <v>0.8</v>
      </c>
      <c r="AE78" s="530">
        <v>0.77</v>
      </c>
      <c r="AF78" s="530">
        <v>0.71</v>
      </c>
      <c r="AG78" s="530">
        <v>0.64</v>
      </c>
      <c r="AH78" s="530">
        <v>0.6</v>
      </c>
      <c r="AI78" s="530">
        <v>0.71</v>
      </c>
      <c r="AL78">
        <v>7</v>
      </c>
      <c r="AM78" t="s">
        <v>132</v>
      </c>
      <c r="AN78">
        <v>31</v>
      </c>
      <c r="AO78">
        <v>7</v>
      </c>
    </row>
    <row r="79" spans="1:49" x14ac:dyDescent="0.25">
      <c r="A79" s="470" t="str">
        <f>+"REGIÓN DE MAGALLANES Y DE LA ANTÁRTICA CHILENA :"</f>
        <v>REGIÓN DE MAGALLANES Y DE LA ANTÁRTICA CHILENA :</v>
      </c>
      <c r="C79" s="682"/>
      <c r="D79" t="s">
        <v>652</v>
      </c>
      <c r="E79" s="458">
        <v>0.9</v>
      </c>
      <c r="G79" s="527" t="s">
        <v>699</v>
      </c>
      <c r="H79" s="2"/>
      <c r="I79" s="2"/>
      <c r="J79" s="2"/>
      <c r="K79" s="2"/>
      <c r="L79" s="2"/>
      <c r="M79" s="2"/>
      <c r="N79" s="2"/>
      <c r="O79" s="2"/>
      <c r="P79" s="2"/>
      <c r="Q79" s="2"/>
      <c r="R79" s="2"/>
      <c r="S79" s="2"/>
      <c r="U79" s="3"/>
      <c r="V79" t="s">
        <v>699</v>
      </c>
      <c r="W79" s="530">
        <v>0.73</v>
      </c>
      <c r="X79" s="530">
        <v>0.73</v>
      </c>
      <c r="Y79" s="530">
        <v>0.74</v>
      </c>
      <c r="Z79" s="530">
        <v>0.76</v>
      </c>
      <c r="AA79" s="530">
        <v>0.79</v>
      </c>
      <c r="AB79" s="530">
        <v>0.78</v>
      </c>
      <c r="AC79" s="530">
        <v>0.78</v>
      </c>
      <c r="AD79" s="530">
        <v>0.77</v>
      </c>
      <c r="AE79" s="530">
        <v>0.75</v>
      </c>
      <c r="AF79" s="530">
        <v>0.74</v>
      </c>
      <c r="AG79" s="530">
        <v>0.73</v>
      </c>
      <c r="AH79" s="530">
        <v>0.73</v>
      </c>
      <c r="AI79" s="530">
        <v>0.75</v>
      </c>
      <c r="AL79">
        <v>8</v>
      </c>
      <c r="AM79" t="s">
        <v>133</v>
      </c>
      <c r="AN79">
        <v>31</v>
      </c>
      <c r="AO79">
        <v>8</v>
      </c>
    </row>
    <row r="80" spans="1:49" ht="15" customHeight="1" x14ac:dyDescent="0.25">
      <c r="A80" s="465" t="str">
        <f>+"Provincia de Última Esperanza"</f>
        <v>Provincia de Última Esperanza</v>
      </c>
      <c r="C80" s="682"/>
      <c r="D80" t="s">
        <v>651</v>
      </c>
      <c r="E80" s="458">
        <v>0.9</v>
      </c>
      <c r="G80" s="3" t="s">
        <v>727</v>
      </c>
      <c r="H80" s="2"/>
      <c r="I80" s="2"/>
      <c r="J80" s="2"/>
      <c r="K80" s="2"/>
      <c r="L80" s="2"/>
      <c r="M80" s="2"/>
      <c r="N80" s="2"/>
      <c r="O80" s="2"/>
      <c r="P80" s="2"/>
      <c r="Q80" s="2"/>
      <c r="R80" s="2"/>
      <c r="S80" s="2"/>
      <c r="U80" s="3"/>
      <c r="V80" s="3" t="s">
        <v>727</v>
      </c>
      <c r="W80" s="530"/>
      <c r="X80" s="530"/>
      <c r="Y80" s="530"/>
      <c r="Z80" s="530"/>
      <c r="AA80" s="530"/>
      <c r="AB80" s="530"/>
      <c r="AC80" s="530"/>
      <c r="AD80" s="530"/>
      <c r="AE80" s="530"/>
      <c r="AF80" s="530"/>
      <c r="AG80" s="530"/>
      <c r="AH80" s="530"/>
      <c r="AI80" s="530"/>
      <c r="AL80">
        <v>9</v>
      </c>
      <c r="AM80" t="s">
        <v>134</v>
      </c>
      <c r="AN80">
        <v>30</v>
      </c>
      <c r="AO80">
        <v>9</v>
      </c>
    </row>
    <row r="81" spans="1:41" x14ac:dyDescent="0.25">
      <c r="A81" s="466" t="str">
        <f>+"Provincia de Magallanes"</f>
        <v>Provincia de Magallanes</v>
      </c>
      <c r="C81" s="683" t="s">
        <v>254</v>
      </c>
      <c r="D81" t="s">
        <v>248</v>
      </c>
      <c r="E81" s="458">
        <v>0.9</v>
      </c>
      <c r="G81" s="527" t="s">
        <v>700</v>
      </c>
      <c r="H81" s="2"/>
      <c r="I81" s="23"/>
      <c r="J81" s="23"/>
      <c r="K81" s="23"/>
      <c r="L81" s="23"/>
      <c r="N81" s="23"/>
      <c r="O81" s="23"/>
      <c r="P81" s="23"/>
      <c r="Q81" s="23"/>
      <c r="R81" s="23"/>
      <c r="U81" s="3"/>
      <c r="V81" t="s">
        <v>700</v>
      </c>
      <c r="W81" s="530">
        <v>0.51</v>
      </c>
      <c r="X81" s="530">
        <v>0.5</v>
      </c>
      <c r="Y81" s="530">
        <v>0.5</v>
      </c>
      <c r="Z81" s="530">
        <v>0.53</v>
      </c>
      <c r="AA81" s="530">
        <v>0.6</v>
      </c>
      <c r="AB81" s="530">
        <v>0.65</v>
      </c>
      <c r="AC81" s="530">
        <v>0.65</v>
      </c>
      <c r="AD81" s="530">
        <v>0.63</v>
      </c>
      <c r="AE81" s="530">
        <v>0.6</v>
      </c>
      <c r="AF81" s="530">
        <v>0.56999999999999995</v>
      </c>
      <c r="AG81" s="530">
        <v>0.54</v>
      </c>
      <c r="AH81" s="530">
        <v>0.51</v>
      </c>
      <c r="AI81" s="530">
        <v>0.56999999999999995</v>
      </c>
      <c r="AL81">
        <v>10</v>
      </c>
      <c r="AM81" t="s">
        <v>135</v>
      </c>
      <c r="AN81">
        <v>31</v>
      </c>
      <c r="AO81">
        <v>10</v>
      </c>
    </row>
    <row r="82" spans="1:41" x14ac:dyDescent="0.25">
      <c r="A82" s="465" t="str">
        <f>+"Provincia de Tierra del Fuego"</f>
        <v>Provincia de Tierra del Fuego</v>
      </c>
      <c r="C82" s="683"/>
      <c r="D82" t="s">
        <v>249</v>
      </c>
      <c r="E82" s="458">
        <v>0.92</v>
      </c>
      <c r="G82" t="s">
        <v>701</v>
      </c>
      <c r="H82" s="2"/>
      <c r="I82" s="23"/>
      <c r="J82" s="23"/>
      <c r="K82" s="23"/>
      <c r="L82" s="23"/>
      <c r="N82" s="23"/>
      <c r="O82" s="23"/>
      <c r="P82" s="23"/>
      <c r="Q82" s="23"/>
      <c r="R82" s="23"/>
      <c r="U82" s="3"/>
      <c r="V82" t="s">
        <v>701</v>
      </c>
      <c r="W82" s="530">
        <v>0.61</v>
      </c>
      <c r="X82" s="530">
        <v>0.64</v>
      </c>
      <c r="Y82" s="530">
        <v>0.67</v>
      </c>
      <c r="Z82" s="530">
        <v>0.7</v>
      </c>
      <c r="AA82" s="530">
        <v>0.74</v>
      </c>
      <c r="AB82" s="530">
        <v>0.77</v>
      </c>
      <c r="AC82" s="530">
        <v>0.77</v>
      </c>
      <c r="AD82" s="530">
        <v>0.76</v>
      </c>
      <c r="AE82" s="530">
        <v>0.73</v>
      </c>
      <c r="AF82" s="530">
        <v>0.72</v>
      </c>
      <c r="AG82" s="530">
        <v>0.66</v>
      </c>
      <c r="AH82" s="530">
        <v>0.63</v>
      </c>
      <c r="AI82" s="530">
        <v>0.7</v>
      </c>
      <c r="AL82">
        <v>11</v>
      </c>
      <c r="AM82" t="s">
        <v>136</v>
      </c>
      <c r="AN82">
        <v>30</v>
      </c>
      <c r="AO82">
        <v>11</v>
      </c>
    </row>
    <row r="83" spans="1:41" ht="15.75" thickBot="1" x14ac:dyDescent="0.3">
      <c r="A83" s="471" t="str">
        <f>+"Provincia de la Antártica Chilena"</f>
        <v>Provincia de la Antártica Chilena</v>
      </c>
      <c r="C83" s="683"/>
      <c r="D83" t="s">
        <v>250</v>
      </c>
      <c r="E83" s="458">
        <v>0.92</v>
      </c>
      <c r="G83" s="482" t="s">
        <v>702</v>
      </c>
      <c r="H83" s="2"/>
      <c r="I83" s="23"/>
      <c r="J83" s="23"/>
      <c r="K83" s="23"/>
      <c r="L83" s="23"/>
      <c r="N83" s="23"/>
      <c r="O83" s="23"/>
      <c r="P83" s="23"/>
      <c r="Q83" s="23"/>
      <c r="R83" s="23"/>
      <c r="U83" s="3"/>
      <c r="V83" s="3" t="s">
        <v>702</v>
      </c>
      <c r="W83" s="530">
        <v>0.65</v>
      </c>
      <c r="X83" s="530">
        <v>0.69</v>
      </c>
      <c r="Y83" s="530">
        <v>0.74</v>
      </c>
      <c r="Z83" s="530">
        <v>0.82</v>
      </c>
      <c r="AA83" s="530">
        <v>0.88</v>
      </c>
      <c r="AB83" s="530">
        <v>0.91</v>
      </c>
      <c r="AC83" s="530">
        <v>0.9</v>
      </c>
      <c r="AD83" s="530">
        <v>0.87</v>
      </c>
      <c r="AE83" s="530">
        <v>0.83</v>
      </c>
      <c r="AF83" s="530">
        <v>0.78</v>
      </c>
      <c r="AG83" s="530">
        <v>0.71</v>
      </c>
      <c r="AH83" s="530">
        <v>0.66</v>
      </c>
      <c r="AI83" s="530">
        <v>0.79</v>
      </c>
      <c r="AL83">
        <v>12</v>
      </c>
      <c r="AM83" t="s">
        <v>137</v>
      </c>
      <c r="AN83">
        <v>31</v>
      </c>
      <c r="AO83">
        <v>12</v>
      </c>
    </row>
    <row r="84" spans="1:41" x14ac:dyDescent="0.25">
      <c r="A84" s="3"/>
      <c r="C84" s="683"/>
      <c r="D84" t="s">
        <v>251</v>
      </c>
      <c r="E84" s="458">
        <v>0.9</v>
      </c>
      <c r="G84" s="3" t="s">
        <v>723</v>
      </c>
      <c r="H84" s="2"/>
      <c r="I84" s="23"/>
      <c r="J84" s="23"/>
      <c r="K84" s="23"/>
      <c r="L84" s="23"/>
      <c r="N84" s="23"/>
      <c r="O84" s="23"/>
      <c r="P84" s="23"/>
      <c r="Q84" s="23"/>
      <c r="R84" s="23"/>
      <c r="U84" s="3"/>
      <c r="V84" s="3" t="s">
        <v>723</v>
      </c>
      <c r="W84" s="530"/>
      <c r="X84" s="530"/>
      <c r="Y84" s="530"/>
      <c r="Z84" s="530"/>
      <c r="AA84" s="530"/>
      <c r="AB84" s="530"/>
      <c r="AC84" s="530"/>
      <c r="AD84" s="530"/>
      <c r="AE84" s="530"/>
      <c r="AF84" s="530"/>
      <c r="AG84" s="530"/>
      <c r="AH84" s="530"/>
      <c r="AI84" s="530"/>
    </row>
    <row r="85" spans="1:41" x14ac:dyDescent="0.25">
      <c r="C85" s="683"/>
      <c r="D85" t="s">
        <v>252</v>
      </c>
      <c r="E85" s="458">
        <v>0.92</v>
      </c>
      <c r="G85" s="482" t="s">
        <v>724</v>
      </c>
      <c r="H85" s="2"/>
      <c r="I85" s="23"/>
      <c r="J85" s="23"/>
      <c r="K85" s="23"/>
      <c r="L85" s="23"/>
      <c r="N85" s="23"/>
      <c r="O85" s="23"/>
      <c r="P85" s="23"/>
      <c r="Q85" s="23"/>
      <c r="R85" s="23"/>
      <c r="U85" s="3"/>
      <c r="V85" s="482" t="s">
        <v>724</v>
      </c>
      <c r="W85" s="530"/>
      <c r="X85" s="530"/>
      <c r="Y85" s="530"/>
      <c r="Z85" s="530"/>
      <c r="AA85" s="530"/>
      <c r="AB85" s="530"/>
      <c r="AC85" s="530"/>
      <c r="AD85" s="530"/>
      <c r="AE85" s="530"/>
      <c r="AF85" s="530"/>
      <c r="AG85" s="530"/>
      <c r="AH85" s="530"/>
      <c r="AI85" s="530"/>
      <c r="AN85">
        <f>60*60*24</f>
        <v>86400</v>
      </c>
    </row>
    <row r="86" spans="1:41" ht="15" customHeight="1" x14ac:dyDescent="0.25">
      <c r="C86" s="683"/>
      <c r="D86" t="s">
        <v>253</v>
      </c>
      <c r="E86" s="458">
        <v>0.9</v>
      </c>
      <c r="G86" s="3" t="s">
        <v>725</v>
      </c>
      <c r="H86" s="2"/>
      <c r="I86" s="23"/>
      <c r="J86" s="23"/>
      <c r="K86" s="23"/>
      <c r="L86" s="23"/>
      <c r="N86" s="23"/>
      <c r="O86" s="23"/>
      <c r="P86" s="23"/>
      <c r="Q86" s="23"/>
      <c r="R86" s="23"/>
      <c r="U86" s="3"/>
      <c r="V86" s="3" t="s">
        <v>725</v>
      </c>
      <c r="W86" s="530"/>
      <c r="X86" s="530"/>
      <c r="Y86" s="530"/>
      <c r="Z86" s="530"/>
      <c r="AA86" s="530"/>
      <c r="AB86" s="530"/>
      <c r="AC86" s="530"/>
      <c r="AD86" s="530"/>
      <c r="AE86" s="530"/>
      <c r="AF86" s="530"/>
      <c r="AG86" s="530"/>
      <c r="AH86" s="530"/>
      <c r="AI86" s="530"/>
    </row>
    <row r="87" spans="1:41" x14ac:dyDescent="0.25">
      <c r="C87" s="683" t="s">
        <v>2</v>
      </c>
      <c r="D87" s="3" t="s">
        <v>18</v>
      </c>
      <c r="E87" s="458">
        <v>0.97</v>
      </c>
      <c r="G87" s="482" t="s">
        <v>726</v>
      </c>
      <c r="U87" s="3"/>
      <c r="V87" s="482" t="s">
        <v>726</v>
      </c>
      <c r="W87" s="530"/>
      <c r="X87" s="530"/>
      <c r="Y87" s="530"/>
      <c r="Z87" s="530"/>
      <c r="AA87" s="530"/>
      <c r="AB87" s="530"/>
      <c r="AC87" s="530"/>
      <c r="AD87" s="530"/>
      <c r="AE87" s="530"/>
      <c r="AF87" s="530"/>
      <c r="AG87" s="530"/>
      <c r="AH87" s="530"/>
      <c r="AI87" s="530"/>
    </row>
    <row r="88" spans="1:41" x14ac:dyDescent="0.25">
      <c r="C88" s="683"/>
      <c r="D88" s="3" t="s">
        <v>19</v>
      </c>
      <c r="E88" s="460">
        <v>0.9</v>
      </c>
      <c r="F88" s="460"/>
      <c r="G88" t="s">
        <v>703</v>
      </c>
      <c r="M88" s="13"/>
      <c r="U88" s="3"/>
      <c r="V88" t="s">
        <v>703</v>
      </c>
      <c r="W88" s="530">
        <v>0.64</v>
      </c>
      <c r="X88" s="530">
        <v>0.66</v>
      </c>
      <c r="Y88" s="530">
        <v>0.71</v>
      </c>
      <c r="Z88" s="530">
        <v>0.78</v>
      </c>
      <c r="AA88" s="530">
        <v>0.85</v>
      </c>
      <c r="AB88" s="530">
        <v>0.88</v>
      </c>
      <c r="AC88" s="530">
        <v>0.87</v>
      </c>
      <c r="AD88" s="530">
        <v>0.84</v>
      </c>
      <c r="AE88" s="530">
        <v>0.8</v>
      </c>
      <c r="AF88" s="530">
        <v>0.76</v>
      </c>
      <c r="AG88" s="530">
        <v>0.71</v>
      </c>
      <c r="AH88" s="530">
        <v>0.67</v>
      </c>
      <c r="AI88" s="530">
        <v>0.76</v>
      </c>
    </row>
    <row r="89" spans="1:41" x14ac:dyDescent="0.25">
      <c r="C89" s="683"/>
      <c r="D89" s="3" t="s">
        <v>20</v>
      </c>
      <c r="E89" s="458">
        <v>0.95</v>
      </c>
      <c r="G89" s="527" t="s">
        <v>704</v>
      </c>
      <c r="U89" s="3"/>
      <c r="V89" t="s">
        <v>704</v>
      </c>
      <c r="W89" s="530">
        <v>0.75</v>
      </c>
      <c r="X89" s="530">
        <v>0.78</v>
      </c>
      <c r="Y89" s="530">
        <v>0.81</v>
      </c>
      <c r="Z89" s="530">
        <v>0.84</v>
      </c>
      <c r="AA89" s="530">
        <v>0.88</v>
      </c>
      <c r="AB89" s="530">
        <v>0.88</v>
      </c>
      <c r="AC89" s="530">
        <v>0.87</v>
      </c>
      <c r="AD89" s="530">
        <v>0.86</v>
      </c>
      <c r="AE89" s="530">
        <v>0.84</v>
      </c>
      <c r="AF89" s="530">
        <v>0.81</v>
      </c>
      <c r="AG89" s="530">
        <v>0.76</v>
      </c>
      <c r="AH89" s="530">
        <v>0.74</v>
      </c>
      <c r="AI89" s="530">
        <v>0.82</v>
      </c>
    </row>
    <row r="90" spans="1:41" x14ac:dyDescent="0.25">
      <c r="C90" s="683" t="s">
        <v>3</v>
      </c>
      <c r="D90" s="3" t="s">
        <v>21</v>
      </c>
      <c r="E90" s="458">
        <v>0.99</v>
      </c>
      <c r="G90" t="s">
        <v>705</v>
      </c>
      <c r="U90" s="3"/>
      <c r="V90" t="s">
        <v>705</v>
      </c>
      <c r="W90" s="530">
        <v>0.74</v>
      </c>
      <c r="X90" s="530">
        <v>0.77</v>
      </c>
      <c r="Y90" s="530">
        <v>0.8</v>
      </c>
      <c r="Z90" s="530">
        <v>0.84</v>
      </c>
      <c r="AA90" s="530">
        <v>0.88</v>
      </c>
      <c r="AB90" s="530">
        <v>0.89</v>
      </c>
      <c r="AC90" s="530">
        <v>0.88</v>
      </c>
      <c r="AD90" s="530">
        <v>0.86</v>
      </c>
      <c r="AE90" s="530">
        <v>0.83</v>
      </c>
      <c r="AF90" s="530">
        <v>0.81</v>
      </c>
      <c r="AG90" s="530">
        <v>0.78</v>
      </c>
      <c r="AH90" s="530">
        <v>0.75</v>
      </c>
      <c r="AI90" s="530">
        <v>0.82</v>
      </c>
    </row>
    <row r="91" spans="1:41" x14ac:dyDescent="0.25">
      <c r="C91" s="683"/>
      <c r="D91" s="3" t="s">
        <v>22</v>
      </c>
      <c r="E91" s="458">
        <v>0.98</v>
      </c>
      <c r="G91" s="482" t="s">
        <v>243</v>
      </c>
      <c r="U91" s="3"/>
      <c r="V91" s="3" t="s">
        <v>243</v>
      </c>
      <c r="W91" s="530">
        <v>0.75</v>
      </c>
      <c r="X91" s="530">
        <v>0.77</v>
      </c>
      <c r="Y91" s="530">
        <v>0.82</v>
      </c>
      <c r="Z91" s="530">
        <v>0.87</v>
      </c>
      <c r="AA91" s="530">
        <v>0.9</v>
      </c>
      <c r="AB91" s="530">
        <v>0.91</v>
      </c>
      <c r="AC91" s="530">
        <v>0.9</v>
      </c>
      <c r="AD91" s="530">
        <v>0.88</v>
      </c>
      <c r="AE91" s="530">
        <v>0.84</v>
      </c>
      <c r="AF91" s="530">
        <v>0.81</v>
      </c>
      <c r="AG91" s="530">
        <v>0.77</v>
      </c>
      <c r="AH91" s="530">
        <v>0.74</v>
      </c>
      <c r="AI91" s="530">
        <v>0.83</v>
      </c>
    </row>
    <row r="92" spans="1:41" x14ac:dyDescent="0.25">
      <c r="C92" s="683"/>
      <c r="D92" s="3" t="s">
        <v>23</v>
      </c>
      <c r="E92" s="458">
        <v>0.94</v>
      </c>
      <c r="G92" s="3" t="s">
        <v>238</v>
      </c>
      <c r="U92" s="3"/>
      <c r="V92" s="3" t="s">
        <v>238</v>
      </c>
      <c r="W92" s="530">
        <v>0.75</v>
      </c>
      <c r="X92" s="530">
        <v>0.78</v>
      </c>
      <c r="Y92" s="530">
        <v>0.82</v>
      </c>
      <c r="Z92" s="530">
        <v>0.87</v>
      </c>
      <c r="AA92" s="530">
        <v>0.89</v>
      </c>
      <c r="AB92" s="530">
        <v>0.91</v>
      </c>
      <c r="AC92" s="530">
        <v>0.9</v>
      </c>
      <c r="AD92" s="530">
        <v>0.88</v>
      </c>
      <c r="AE92" s="530">
        <v>0.85</v>
      </c>
      <c r="AF92" s="530">
        <v>0.81</v>
      </c>
      <c r="AG92" s="530">
        <v>0.78</v>
      </c>
      <c r="AH92" s="530">
        <v>0.74</v>
      </c>
      <c r="AI92" s="530">
        <v>0.83</v>
      </c>
    </row>
    <row r="93" spans="1:41" x14ac:dyDescent="0.25">
      <c r="C93" s="683"/>
      <c r="D93" s="3" t="s">
        <v>24</v>
      </c>
      <c r="E93" s="458">
        <v>0.95</v>
      </c>
      <c r="G93" s="482" t="s">
        <v>706</v>
      </c>
      <c r="U93" s="3"/>
      <c r="V93" s="3" t="s">
        <v>706</v>
      </c>
      <c r="W93" s="530">
        <v>0.8</v>
      </c>
      <c r="X93" s="530">
        <v>0.83</v>
      </c>
      <c r="Y93" s="530">
        <v>0.85</v>
      </c>
      <c r="Z93" s="530">
        <v>0.88</v>
      </c>
      <c r="AA93" s="530">
        <v>0.89</v>
      </c>
      <c r="AB93" s="530">
        <v>0.9</v>
      </c>
      <c r="AC93" s="530">
        <v>0.9</v>
      </c>
      <c r="AD93" s="530">
        <v>0.88</v>
      </c>
      <c r="AE93" s="530">
        <v>0.86</v>
      </c>
      <c r="AF93" s="530">
        <v>0.84</v>
      </c>
      <c r="AG93" s="530">
        <v>0.81</v>
      </c>
      <c r="AH93" s="530">
        <v>0.79</v>
      </c>
      <c r="AI93" s="530">
        <v>0.85</v>
      </c>
    </row>
    <row r="94" spans="1:41" x14ac:dyDescent="0.25">
      <c r="C94" s="683" t="s">
        <v>4</v>
      </c>
      <c r="D94" s="3" t="str">
        <f>+"Provincia de Ñuble"</f>
        <v>Provincia de Ñuble</v>
      </c>
      <c r="E94" s="458">
        <v>0.94</v>
      </c>
      <c r="G94" s="3" t="s">
        <v>707</v>
      </c>
      <c r="U94" s="3"/>
      <c r="V94" s="3" t="s">
        <v>707</v>
      </c>
      <c r="W94" s="530">
        <v>0.83</v>
      </c>
      <c r="X94" s="530">
        <v>0.84</v>
      </c>
      <c r="Y94" s="530">
        <v>0.86</v>
      </c>
      <c r="Z94" s="530">
        <v>0.89</v>
      </c>
      <c r="AA94" s="530">
        <v>0.91</v>
      </c>
      <c r="AB94" s="530">
        <v>0.92</v>
      </c>
      <c r="AC94" s="530">
        <v>0.91</v>
      </c>
      <c r="AD94" s="530">
        <v>0.9</v>
      </c>
      <c r="AE94" s="530">
        <v>0.87</v>
      </c>
      <c r="AF94" s="530">
        <v>0.84</v>
      </c>
      <c r="AG94" s="530">
        <v>0.82</v>
      </c>
      <c r="AH94" s="530">
        <v>0.81</v>
      </c>
      <c r="AI94" s="530">
        <v>0.87</v>
      </c>
    </row>
    <row r="95" spans="1:41" x14ac:dyDescent="0.25">
      <c r="C95" s="683"/>
      <c r="D95" s="3" t="str">
        <f>+"Provincia de Biobío"</f>
        <v>Provincia de Biobío</v>
      </c>
      <c r="E95" s="458">
        <v>0.94</v>
      </c>
      <c r="G95" s="482" t="s">
        <v>708</v>
      </c>
      <c r="U95" s="3"/>
      <c r="V95" s="3" t="s">
        <v>708</v>
      </c>
      <c r="W95" s="530">
        <v>0.65</v>
      </c>
      <c r="X95" s="530">
        <v>0.67</v>
      </c>
      <c r="Y95" s="530">
        <v>0.71</v>
      </c>
      <c r="Z95" s="530">
        <v>0.77</v>
      </c>
      <c r="AA95" s="530">
        <v>0.82</v>
      </c>
      <c r="AB95" s="530">
        <v>0.84</v>
      </c>
      <c r="AC95" s="530">
        <v>0.83</v>
      </c>
      <c r="AD95" s="530">
        <v>0.8</v>
      </c>
      <c r="AE95" s="530">
        <v>0.75</v>
      </c>
      <c r="AF95" s="530">
        <v>0.7</v>
      </c>
      <c r="AG95" s="530">
        <v>0.66</v>
      </c>
      <c r="AH95" s="530">
        <v>0.65</v>
      </c>
      <c r="AI95" s="530">
        <v>0.74</v>
      </c>
    </row>
    <row r="96" spans="1:41" x14ac:dyDescent="0.25">
      <c r="C96" s="683"/>
      <c r="D96" s="3" t="str">
        <f>+"Provincia de Concepción"</f>
        <v>Provincia de Concepción</v>
      </c>
      <c r="E96" s="458">
        <v>0.96</v>
      </c>
      <c r="G96" s="3" t="s">
        <v>709</v>
      </c>
      <c r="U96" s="3"/>
      <c r="V96" s="3" t="s">
        <v>709</v>
      </c>
      <c r="W96" s="530">
        <v>0.63</v>
      </c>
      <c r="X96" s="530">
        <v>0.65</v>
      </c>
      <c r="Y96" s="530">
        <v>0.68</v>
      </c>
      <c r="Z96" s="530">
        <v>0.73</v>
      </c>
      <c r="AA96" s="530">
        <v>0.79</v>
      </c>
      <c r="AB96" s="530">
        <v>0.81</v>
      </c>
      <c r="AC96" s="530">
        <v>0.81</v>
      </c>
      <c r="AD96" s="530">
        <v>0.78</v>
      </c>
      <c r="AE96" s="530">
        <v>0.73</v>
      </c>
      <c r="AF96" s="530">
        <v>0.67</v>
      </c>
      <c r="AG96" s="530">
        <v>0.63</v>
      </c>
      <c r="AH96" s="530">
        <v>0.62</v>
      </c>
      <c r="AI96" s="530">
        <v>0.71</v>
      </c>
    </row>
    <row r="97" spans="3:35" ht="15" customHeight="1" x14ac:dyDescent="0.25">
      <c r="C97" s="683"/>
      <c r="D97" s="3" t="str">
        <f>+"Provincia de Arauco"</f>
        <v>Provincia de Arauco</v>
      </c>
      <c r="E97" s="458">
        <v>0.94</v>
      </c>
      <c r="G97" s="528" t="s">
        <v>710</v>
      </c>
      <c r="U97" s="3"/>
      <c r="V97" s="462" t="s">
        <v>710</v>
      </c>
      <c r="W97" s="530">
        <v>0.5</v>
      </c>
      <c r="X97" s="530">
        <v>0.52</v>
      </c>
      <c r="Y97" s="530">
        <v>0.56999999999999995</v>
      </c>
      <c r="Z97" s="530">
        <v>0.64</v>
      </c>
      <c r="AA97" s="530">
        <v>0.72</v>
      </c>
      <c r="AB97" s="530">
        <v>0.74</v>
      </c>
      <c r="AC97" s="530">
        <v>0.74</v>
      </c>
      <c r="AD97" s="530">
        <v>0.71</v>
      </c>
      <c r="AE97" s="530">
        <v>0.65</v>
      </c>
      <c r="AF97" s="530">
        <v>0.56999999999999995</v>
      </c>
      <c r="AG97" s="530">
        <v>0.51</v>
      </c>
      <c r="AH97" s="530">
        <v>0.51</v>
      </c>
      <c r="AI97" s="530">
        <v>0.62</v>
      </c>
    </row>
    <row r="98" spans="3:35" x14ac:dyDescent="0.25">
      <c r="C98" s="683" t="s">
        <v>5</v>
      </c>
      <c r="D98" s="3" t="str">
        <f>+"Provincia de Malleco"</f>
        <v>Provincia de Malleco</v>
      </c>
      <c r="E98" s="458">
        <v>0.94</v>
      </c>
      <c r="G98" s="3" t="s">
        <v>711</v>
      </c>
      <c r="U98" s="3"/>
      <c r="V98" s="3" t="s">
        <v>711</v>
      </c>
      <c r="W98" s="530">
        <v>0.61</v>
      </c>
      <c r="X98" s="530">
        <v>0.63</v>
      </c>
      <c r="Y98" s="530">
        <v>0.69</v>
      </c>
      <c r="Z98" s="530">
        <v>0.75</v>
      </c>
      <c r="AA98" s="530">
        <v>0.81</v>
      </c>
      <c r="AB98" s="530">
        <v>0.84</v>
      </c>
      <c r="AC98" s="530">
        <v>0.82</v>
      </c>
      <c r="AD98" s="530">
        <v>0.76</v>
      </c>
      <c r="AE98" s="530">
        <v>0.7</v>
      </c>
      <c r="AF98" s="530">
        <v>0.64</v>
      </c>
      <c r="AG98" s="530">
        <v>0.61</v>
      </c>
      <c r="AH98" s="530">
        <v>0.6</v>
      </c>
      <c r="AI98" s="530">
        <v>0.71</v>
      </c>
    </row>
    <row r="99" spans="3:35" x14ac:dyDescent="0.25">
      <c r="C99" s="683"/>
      <c r="D99" s="3" t="str">
        <f>+"Provincia de Cautín"</f>
        <v>Provincia de Cautín</v>
      </c>
      <c r="E99" s="458">
        <v>0.96</v>
      </c>
      <c r="G99" s="482" t="s">
        <v>712</v>
      </c>
      <c r="U99" s="3"/>
      <c r="V99" s="3" t="s">
        <v>712</v>
      </c>
      <c r="W99" s="530">
        <v>0.69</v>
      </c>
      <c r="X99" s="530">
        <v>0.71</v>
      </c>
      <c r="Y99" s="530">
        <v>0.75</v>
      </c>
      <c r="Z99" s="530">
        <v>0.8</v>
      </c>
      <c r="AA99" s="530">
        <v>0.84</v>
      </c>
      <c r="AB99" s="530">
        <v>0.84</v>
      </c>
      <c r="AC99" s="530">
        <v>0.84</v>
      </c>
      <c r="AD99" s="530">
        <v>0.82</v>
      </c>
      <c r="AE99" s="530">
        <v>0.78</v>
      </c>
      <c r="AF99" s="530">
        <v>0.72</v>
      </c>
      <c r="AG99" s="530">
        <v>0.69</v>
      </c>
      <c r="AH99" s="530">
        <v>0.68</v>
      </c>
      <c r="AI99" s="530">
        <v>0.76</v>
      </c>
    </row>
    <row r="100" spans="3:35" x14ac:dyDescent="0.25">
      <c r="C100" s="683" t="s">
        <v>6</v>
      </c>
      <c r="D100" s="3" t="str">
        <f>+"Provincia de Valdivia"</f>
        <v>Provincia de Valdivia</v>
      </c>
      <c r="E100" s="458">
        <v>0.98</v>
      </c>
      <c r="G100" s="3" t="s">
        <v>713</v>
      </c>
      <c r="U100" s="3"/>
      <c r="V100" s="3" t="s">
        <v>713</v>
      </c>
      <c r="W100" s="530">
        <v>0.89</v>
      </c>
      <c r="X100" s="530">
        <v>0.9</v>
      </c>
      <c r="Y100" s="530">
        <v>0.89</v>
      </c>
      <c r="Z100" s="530">
        <v>0.89</v>
      </c>
      <c r="AA100" s="530">
        <v>0.89</v>
      </c>
      <c r="AB100" s="530">
        <v>0.89</v>
      </c>
      <c r="AC100" s="530">
        <v>0.89</v>
      </c>
      <c r="AD100" s="530">
        <v>0.89</v>
      </c>
      <c r="AE100" s="530">
        <v>0.89</v>
      </c>
      <c r="AF100" s="530">
        <v>0.89</v>
      </c>
      <c r="AG100" s="530">
        <v>0.9</v>
      </c>
      <c r="AH100" s="530">
        <v>0.9</v>
      </c>
      <c r="AI100" s="530">
        <v>0.89</v>
      </c>
    </row>
    <row r="101" spans="3:35" x14ac:dyDescent="0.25">
      <c r="C101" s="683"/>
      <c r="D101" s="3" t="str">
        <f>+"Provincia del Ranco"</f>
        <v>Provincia del Ranco</v>
      </c>
      <c r="E101" s="458">
        <v>0.96</v>
      </c>
      <c r="G101" s="482" t="s">
        <v>714</v>
      </c>
      <c r="U101" s="3"/>
      <c r="V101" s="3" t="s">
        <v>714</v>
      </c>
      <c r="W101" s="530">
        <v>0.83</v>
      </c>
      <c r="X101" s="530">
        <v>0.85</v>
      </c>
      <c r="Y101" s="530">
        <v>0.87</v>
      </c>
      <c r="Z101" s="530">
        <v>0.85</v>
      </c>
      <c r="AA101" s="530">
        <v>0.85</v>
      </c>
      <c r="AB101" s="530">
        <v>0.85</v>
      </c>
      <c r="AC101" s="530">
        <v>0.86</v>
      </c>
      <c r="AD101" s="530">
        <v>0.85</v>
      </c>
      <c r="AE101" s="530">
        <v>0.86</v>
      </c>
      <c r="AF101" s="530">
        <v>0.84</v>
      </c>
      <c r="AG101" s="530">
        <v>0.85</v>
      </c>
      <c r="AH101" s="530">
        <v>0.85</v>
      </c>
      <c r="AI101" s="530">
        <v>0.85</v>
      </c>
    </row>
    <row r="102" spans="3:35" x14ac:dyDescent="0.25">
      <c r="C102" s="683" t="s">
        <v>7</v>
      </c>
      <c r="D102" t="str">
        <f>+"Provincia de Osorno"</f>
        <v>Provincia de Osorno</v>
      </c>
      <c r="E102" s="458">
        <v>0.95</v>
      </c>
      <c r="G102" s="3" t="s">
        <v>715</v>
      </c>
      <c r="U102" s="3"/>
      <c r="V102" s="3" t="s">
        <v>715</v>
      </c>
      <c r="W102" s="530">
        <v>0.83</v>
      </c>
      <c r="X102" s="530">
        <v>0.85</v>
      </c>
      <c r="Y102" s="530">
        <v>0.85</v>
      </c>
      <c r="Z102" s="530">
        <v>0.84</v>
      </c>
      <c r="AA102" s="530">
        <v>0.85</v>
      </c>
      <c r="AB102" s="530">
        <v>0.85</v>
      </c>
      <c r="AC102" s="530">
        <v>0.85</v>
      </c>
      <c r="AD102" s="530">
        <v>0.85</v>
      </c>
      <c r="AE102" s="530">
        <v>0.86</v>
      </c>
      <c r="AF102" s="530">
        <v>0.85</v>
      </c>
      <c r="AG102" s="530">
        <v>0.82</v>
      </c>
      <c r="AH102" s="530">
        <v>0.85</v>
      </c>
      <c r="AI102" s="530">
        <v>0.85</v>
      </c>
    </row>
    <row r="103" spans="3:35" x14ac:dyDescent="0.25">
      <c r="C103" s="683"/>
      <c r="D103" s="3" t="str">
        <f>+"Provincia de Llanquihue"</f>
        <v>Provincia de Llanquihue</v>
      </c>
      <c r="E103" s="458">
        <v>0.96</v>
      </c>
      <c r="G103" s="529" t="s">
        <v>716</v>
      </c>
      <c r="U103" s="483"/>
      <c r="V103" s="3" t="s">
        <v>716</v>
      </c>
      <c r="W103" s="530">
        <v>0.81</v>
      </c>
      <c r="X103" s="530">
        <v>0.84</v>
      </c>
      <c r="Y103" s="530">
        <v>0.83</v>
      </c>
      <c r="Z103" s="530">
        <v>0.81</v>
      </c>
      <c r="AA103" s="530">
        <v>0.84</v>
      </c>
      <c r="AB103" s="530">
        <v>0.82</v>
      </c>
      <c r="AC103" s="530">
        <v>0.82</v>
      </c>
      <c r="AD103" s="530">
        <v>0.81</v>
      </c>
      <c r="AE103" s="530">
        <v>0.82</v>
      </c>
      <c r="AF103" s="530">
        <v>0.81</v>
      </c>
      <c r="AG103" s="530">
        <v>0.8</v>
      </c>
      <c r="AH103" s="530">
        <v>0.81</v>
      </c>
      <c r="AI103" s="530">
        <v>0.82</v>
      </c>
    </row>
    <row r="104" spans="3:35" x14ac:dyDescent="0.25">
      <c r="C104" s="683"/>
      <c r="D104" s="3" t="str">
        <f>+"Provincia de Chiloé"</f>
        <v>Provincia de Chiloé</v>
      </c>
      <c r="E104" s="458">
        <v>0.93</v>
      </c>
      <c r="U104" s="476"/>
      <c r="V104" s="3"/>
    </row>
    <row r="105" spans="3:35" ht="15" customHeight="1" x14ac:dyDescent="0.25">
      <c r="C105" s="683"/>
      <c r="D105" s="3" t="str">
        <f>+"Provincia de Palena"</f>
        <v>Provincia de Palena</v>
      </c>
      <c r="E105" s="458">
        <v>0.86</v>
      </c>
      <c r="U105" s="476"/>
      <c r="V105" s="3"/>
    </row>
    <row r="106" spans="3:35" x14ac:dyDescent="0.25">
      <c r="C106" s="683" t="s">
        <v>8</v>
      </c>
      <c r="D106" s="3" t="str">
        <f>+"Provincia de Coyhaique"</f>
        <v>Provincia de Coyhaique</v>
      </c>
      <c r="E106" s="458">
        <v>0.95</v>
      </c>
      <c r="U106" s="476"/>
      <c r="V106" s="3"/>
    </row>
    <row r="107" spans="3:35" x14ac:dyDescent="0.25">
      <c r="C107" s="683"/>
      <c r="D107" s="3" t="str">
        <f>+"Provincia de Aysén"</f>
        <v>Provincia de Aysén</v>
      </c>
      <c r="E107" s="458">
        <v>0.98</v>
      </c>
      <c r="U107" s="476"/>
      <c r="V107" s="3"/>
    </row>
    <row r="108" spans="3:35" x14ac:dyDescent="0.25">
      <c r="C108" s="683"/>
      <c r="D108" s="3" t="str">
        <f>+"Provincia de General Carrera"</f>
        <v>Provincia de General Carrera</v>
      </c>
      <c r="E108" s="458">
        <v>0.86</v>
      </c>
      <c r="U108" s="476"/>
      <c r="V108" s="3"/>
    </row>
    <row r="109" spans="3:35" ht="15" customHeight="1" x14ac:dyDescent="0.25">
      <c r="C109" s="683"/>
      <c r="D109" s="3" t="str">
        <f>+"Provincia de Capitán Prat"</f>
        <v>Provincia de Capitán Prat</v>
      </c>
      <c r="E109" s="458">
        <v>0.93</v>
      </c>
      <c r="U109" s="476"/>
      <c r="V109" s="3"/>
    </row>
    <row r="110" spans="3:35" x14ac:dyDescent="0.25">
      <c r="C110" s="683" t="s">
        <v>9</v>
      </c>
      <c r="D110" s="3" t="str">
        <f>+"Provincia de Última Esperanza"</f>
        <v>Provincia de Última Esperanza</v>
      </c>
      <c r="E110" s="458">
        <v>0.89</v>
      </c>
      <c r="U110" s="476"/>
      <c r="V110" s="3"/>
    </row>
    <row r="111" spans="3:35" x14ac:dyDescent="0.25">
      <c r="C111" s="683"/>
      <c r="D111" s="3" t="str">
        <f>+"Provincia de Magallanes"</f>
        <v>Provincia de Magallanes</v>
      </c>
      <c r="E111" s="458">
        <v>0.92</v>
      </c>
      <c r="U111" s="476"/>
      <c r="V111" s="3"/>
    </row>
    <row r="112" spans="3:35" x14ac:dyDescent="0.25">
      <c r="C112" s="683"/>
      <c r="D112" s="3" t="str">
        <f>+"Provincia de Tierra del Fuego"</f>
        <v>Provincia de Tierra del Fuego</v>
      </c>
      <c r="E112" s="458">
        <v>0.88</v>
      </c>
      <c r="U112" s="476"/>
      <c r="V112" s="3"/>
    </row>
    <row r="113" spans="3:22" ht="15.75" thickBot="1" x14ac:dyDescent="0.3">
      <c r="C113" s="691"/>
      <c r="D113" s="109" t="str">
        <f>+"Provincia de la Antártica Chilena"</f>
        <v>Provincia de la Antártica Chilena</v>
      </c>
      <c r="E113" s="459">
        <v>0.88</v>
      </c>
      <c r="F113" s="459"/>
      <c r="G113" s="459"/>
      <c r="H113" s="108"/>
      <c r="I113" s="108"/>
      <c r="J113" s="108"/>
      <c r="K113" s="108"/>
      <c r="L113" s="108"/>
      <c r="M113" s="108"/>
      <c r="N113" s="108"/>
      <c r="O113" s="108"/>
      <c r="P113" s="108"/>
      <c r="Q113" s="108"/>
      <c r="R113" s="108"/>
      <c r="U113" s="478"/>
      <c r="V113" s="109"/>
    </row>
  </sheetData>
  <sheetProtection algorithmName="SHA-512" hashValue="ujF2HuvpyqvMokZ/OGQJd50lo6n2trmChsJHPTsiqJiZl5rJzMNJlLLuB1po9xSEiBVDZlD8E8rT4h0M6UzokQ==" saltValue="TfPISqcyFgfDO/j1zoYjhw==" spinCount="100000" sheet="1" objects="1" scenarios="1"/>
  <mergeCells count="47">
    <mergeCell ref="C106:C109"/>
    <mergeCell ref="C110:C113"/>
    <mergeCell ref="C98:C99"/>
    <mergeCell ref="C81:C86"/>
    <mergeCell ref="AZ1:BD1"/>
    <mergeCell ref="AZ16:BD16"/>
    <mergeCell ref="C59:S59"/>
    <mergeCell ref="C1:S1"/>
    <mergeCell ref="AN35:AV35"/>
    <mergeCell ref="AK9:AM9"/>
    <mergeCell ref="AK21:AL21"/>
    <mergeCell ref="C52:C55"/>
    <mergeCell ref="C87:C89"/>
    <mergeCell ref="C90:C93"/>
    <mergeCell ref="C94:C97"/>
    <mergeCell ref="AZ33:BB33"/>
    <mergeCell ref="C32:C35"/>
    <mergeCell ref="C29:C31"/>
    <mergeCell ref="C23:C28"/>
    <mergeCell ref="C16:C22"/>
    <mergeCell ref="C36:C39"/>
    <mergeCell ref="AK26:AL26"/>
    <mergeCell ref="AO1:AP1"/>
    <mergeCell ref="AT1:AX1"/>
    <mergeCell ref="C10:C12"/>
    <mergeCell ref="C7:C9"/>
    <mergeCell ref="C5:C6"/>
    <mergeCell ref="C3:C4"/>
    <mergeCell ref="C13:C15"/>
    <mergeCell ref="V1:AI1"/>
    <mergeCell ref="C68:C70"/>
    <mergeCell ref="C71:C73"/>
    <mergeCell ref="C74:C80"/>
    <mergeCell ref="C102:C105"/>
    <mergeCell ref="C100:C101"/>
    <mergeCell ref="V59:AI59"/>
    <mergeCell ref="AS41:AT41"/>
    <mergeCell ref="AS50:AW50"/>
    <mergeCell ref="AS60:AW60"/>
    <mergeCell ref="C65:C67"/>
    <mergeCell ref="C63:C64"/>
    <mergeCell ref="C44:C47"/>
    <mergeCell ref="C48:C51"/>
    <mergeCell ref="C42:C43"/>
    <mergeCell ref="C40:C41"/>
    <mergeCell ref="C61:C62"/>
    <mergeCell ref="AM57:AN57"/>
  </mergeCells>
  <conditionalFormatting sqref="AO3:AP5">
    <cfRule type="containsErrors" dxfId="71" priority="3">
      <formula>ISERROR(AO3)</formula>
    </cfRule>
  </conditionalFormatting>
  <conditionalFormatting sqref="W3:AI45">
    <cfRule type="colorScale" priority="2">
      <colorScale>
        <cfvo type="min"/>
        <cfvo type="percentile" val="50"/>
        <cfvo type="max"/>
        <color rgb="FF5A8AC6"/>
        <color rgb="FFFCFCFF"/>
        <color rgb="FFF8696B"/>
      </colorScale>
    </cfRule>
  </conditionalFormatting>
  <conditionalFormatting sqref="W61:AI103">
    <cfRule type="colorScale" priority="1">
      <colorScale>
        <cfvo type="min"/>
        <cfvo type="max"/>
        <color rgb="FFFCFCFF"/>
        <color rgb="FF63BE7B"/>
      </colorScale>
    </cfRule>
  </conditionalFormatting>
  <pageMargins left="0.7" right="0.7" top="0.75" bottom="0.75" header="0.3" footer="0.3"/>
  <pageSetup orientation="portrait" r:id="rId1"/>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R76"/>
  <sheetViews>
    <sheetView showRowColHeaders="0" tabSelected="1" topLeftCell="A18" zoomScale="71" zoomScaleNormal="71" workbookViewId="0">
      <selection activeCell="F30" sqref="F30"/>
    </sheetView>
  </sheetViews>
  <sheetFormatPr baseColWidth="10" defaultColWidth="0" defaultRowHeight="15" zeroHeight="1" x14ac:dyDescent="0.25"/>
  <cols>
    <col min="1" max="1" width="7.140625" style="1" customWidth="1"/>
    <col min="2" max="2" width="12.42578125" style="1" customWidth="1"/>
    <col min="3" max="3" width="15.5703125" style="1" customWidth="1"/>
    <col min="4" max="4" width="14" style="1" customWidth="1"/>
    <col min="5" max="5" width="14.85546875" style="1" customWidth="1"/>
    <col min="6" max="6" width="12.5703125" style="1" customWidth="1"/>
    <col min="7" max="7" width="9.85546875" style="1" customWidth="1"/>
    <col min="8" max="8" width="4.7109375" style="1" bestFit="1" customWidth="1"/>
    <col min="9" max="9" width="16" style="1" customWidth="1"/>
    <col min="10" max="10" width="14.5703125" style="1" customWidth="1"/>
    <col min="11" max="11" width="17.85546875" style="1" customWidth="1"/>
    <col min="12" max="12" width="13.28515625" style="1" customWidth="1"/>
    <col min="13" max="13" width="13.7109375" style="1" customWidth="1"/>
    <col min="14" max="14" width="4.7109375" style="1" customWidth="1"/>
    <col min="15" max="15" width="11.42578125" style="1" hidden="1" customWidth="1"/>
    <col min="16" max="18" width="0" style="1" hidden="1" customWidth="1"/>
    <col min="19" max="16384" width="11.42578125" style="1" hidden="1"/>
  </cols>
  <sheetData>
    <row r="1" spans="1:14" hidden="1" x14ac:dyDescent="0.25">
      <c r="A1" s="488"/>
      <c r="B1" s="488"/>
      <c r="C1" s="488"/>
      <c r="D1" s="488"/>
      <c r="E1" s="488"/>
      <c r="F1" s="488"/>
      <c r="G1" s="488"/>
      <c r="H1" s="488"/>
      <c r="I1" s="488"/>
      <c r="J1" s="488"/>
      <c r="K1" s="488"/>
      <c r="L1" s="488"/>
      <c r="M1" s="488"/>
      <c r="N1" s="488"/>
    </row>
    <row r="2" spans="1:14" ht="15.75" hidden="1" thickBot="1" x14ac:dyDescent="0.3">
      <c r="A2" s="692" t="s">
        <v>765</v>
      </c>
      <c r="B2" s="692"/>
      <c r="C2" s="692"/>
      <c r="D2" s="692"/>
      <c r="E2" s="692"/>
      <c r="F2" s="692"/>
      <c r="H2" s="692" t="s">
        <v>765</v>
      </c>
      <c r="I2" s="692"/>
      <c r="J2" s="692"/>
      <c r="K2" s="692"/>
      <c r="L2" s="692"/>
      <c r="M2" s="692"/>
    </row>
    <row r="3" spans="1:14" ht="44.25" hidden="1" customHeight="1" thickBot="1" x14ac:dyDescent="0.3">
      <c r="A3" s="240"/>
      <c r="B3" s="494"/>
      <c r="C3" s="491" t="s">
        <v>768</v>
      </c>
      <c r="D3" s="489" t="s">
        <v>766</v>
      </c>
      <c r="E3" s="489" t="s">
        <v>769</v>
      </c>
      <c r="F3" s="490" t="s">
        <v>767</v>
      </c>
      <c r="I3" s="494"/>
      <c r="J3" s="504" t="s">
        <v>776</v>
      </c>
      <c r="K3" s="490" t="s">
        <v>777</v>
      </c>
    </row>
    <row r="4" spans="1:14" hidden="1" x14ac:dyDescent="0.25">
      <c r="B4" s="492" t="s">
        <v>138</v>
      </c>
      <c r="C4" s="497">
        <v>-1</v>
      </c>
      <c r="D4" s="498">
        <v>0.85</v>
      </c>
      <c r="E4" s="498">
        <v>20</v>
      </c>
      <c r="F4" s="499">
        <v>0.49</v>
      </c>
      <c r="G4" s="1">
        <v>0.39</v>
      </c>
      <c r="I4" s="492" t="s">
        <v>138</v>
      </c>
      <c r="J4" s="495"/>
      <c r="K4" s="496"/>
    </row>
    <row r="5" spans="1:14" hidden="1" x14ac:dyDescent="0.25">
      <c r="B5" s="426" t="s">
        <v>139</v>
      </c>
      <c r="C5" s="497">
        <v>0</v>
      </c>
      <c r="D5" s="498">
        <v>0.84</v>
      </c>
      <c r="E5" s="498">
        <v>20</v>
      </c>
      <c r="F5" s="499">
        <v>0.5</v>
      </c>
      <c r="G5" s="1">
        <v>0.4</v>
      </c>
      <c r="I5" s="426" t="s">
        <v>139</v>
      </c>
      <c r="J5" s="498"/>
      <c r="K5" s="499"/>
    </row>
    <row r="6" spans="1:14" hidden="1" x14ac:dyDescent="0.25">
      <c r="B6" s="426" t="s">
        <v>140</v>
      </c>
      <c r="C6" s="497">
        <v>4</v>
      </c>
      <c r="D6" s="498">
        <v>0.78</v>
      </c>
      <c r="E6" s="498">
        <v>20</v>
      </c>
      <c r="F6" s="499">
        <v>0.54</v>
      </c>
      <c r="G6" s="1">
        <v>0.44</v>
      </c>
      <c r="I6" s="426" t="s">
        <v>140</v>
      </c>
      <c r="J6" s="498"/>
      <c r="K6" s="499"/>
    </row>
    <row r="7" spans="1:14" hidden="1" x14ac:dyDescent="0.25">
      <c r="B7" s="426" t="s">
        <v>141</v>
      </c>
      <c r="C7" s="497">
        <v>9</v>
      </c>
      <c r="D7" s="498">
        <v>0.72</v>
      </c>
      <c r="E7" s="498">
        <v>20</v>
      </c>
      <c r="F7" s="499">
        <v>0.59</v>
      </c>
      <c r="G7" s="1">
        <v>0.49</v>
      </c>
      <c r="I7" s="426" t="s">
        <v>141</v>
      </c>
      <c r="J7" s="498"/>
      <c r="K7" s="499"/>
    </row>
    <row r="8" spans="1:14" hidden="1" x14ac:dyDescent="0.25">
      <c r="B8" s="426" t="s">
        <v>142</v>
      </c>
      <c r="C8" s="497">
        <v>14</v>
      </c>
      <c r="D8" s="498">
        <v>0.68</v>
      </c>
      <c r="E8" s="498">
        <v>22</v>
      </c>
      <c r="F8" s="499">
        <v>0.64</v>
      </c>
      <c r="G8" s="1">
        <v>0.54</v>
      </c>
      <c r="I8" s="426" t="s">
        <v>142</v>
      </c>
      <c r="J8" s="498"/>
      <c r="K8" s="499"/>
    </row>
    <row r="9" spans="1:14" hidden="1" x14ac:dyDescent="0.25">
      <c r="B9" s="426" t="s">
        <v>143</v>
      </c>
      <c r="C9" s="497">
        <v>18</v>
      </c>
      <c r="D9" s="498">
        <v>0.69</v>
      </c>
      <c r="E9" s="498">
        <v>24</v>
      </c>
      <c r="F9" s="499">
        <v>0.68</v>
      </c>
      <c r="G9" s="1">
        <v>0.57999999999999996</v>
      </c>
      <c r="I9" s="426" t="s">
        <v>143</v>
      </c>
      <c r="J9" s="498"/>
      <c r="K9" s="499"/>
    </row>
    <row r="10" spans="1:14" hidden="1" x14ac:dyDescent="0.25">
      <c r="B10" s="426" t="s">
        <v>132</v>
      </c>
      <c r="C10" s="497">
        <v>19</v>
      </c>
      <c r="D10" s="498">
        <v>0.73</v>
      </c>
      <c r="E10" s="498">
        <v>24.5</v>
      </c>
      <c r="F10" s="499">
        <v>0.69</v>
      </c>
      <c r="G10" s="1">
        <v>0.59</v>
      </c>
      <c r="I10" s="426" t="s">
        <v>132</v>
      </c>
      <c r="J10" s="498"/>
      <c r="K10" s="499"/>
    </row>
    <row r="11" spans="1:14" hidden="1" x14ac:dyDescent="0.25">
      <c r="B11" s="426" t="s">
        <v>133</v>
      </c>
      <c r="C11" s="497">
        <v>19</v>
      </c>
      <c r="D11" s="498">
        <v>0.75</v>
      </c>
      <c r="E11" s="498">
        <v>24.5</v>
      </c>
      <c r="F11" s="499">
        <v>0.69</v>
      </c>
      <c r="G11" s="1">
        <v>0.59</v>
      </c>
      <c r="I11" s="426" t="s">
        <v>133</v>
      </c>
      <c r="J11" s="498"/>
      <c r="K11" s="499"/>
    </row>
    <row r="12" spans="1:14" hidden="1" x14ac:dyDescent="0.25">
      <c r="B12" s="426" t="s">
        <v>134</v>
      </c>
      <c r="C12" s="497">
        <v>15</v>
      </c>
      <c r="D12" s="498">
        <v>0.79</v>
      </c>
      <c r="E12" s="498">
        <v>22.5</v>
      </c>
      <c r="F12" s="499">
        <v>0.65</v>
      </c>
      <c r="G12" s="1">
        <v>0.55000000000000004</v>
      </c>
      <c r="I12" s="426" t="s">
        <v>134</v>
      </c>
      <c r="J12" s="498"/>
      <c r="K12" s="499"/>
    </row>
    <row r="13" spans="1:14" hidden="1" x14ac:dyDescent="0.25">
      <c r="B13" s="426" t="s">
        <v>135</v>
      </c>
      <c r="C13" s="497">
        <v>10</v>
      </c>
      <c r="D13" s="498">
        <v>0.83</v>
      </c>
      <c r="E13" s="498">
        <v>20</v>
      </c>
      <c r="F13" s="499">
        <v>0.6</v>
      </c>
      <c r="G13" s="1">
        <v>0.5</v>
      </c>
      <c r="I13" s="426" t="s">
        <v>135</v>
      </c>
      <c r="J13" s="498"/>
      <c r="K13" s="499"/>
    </row>
    <row r="14" spans="1:14" hidden="1" x14ac:dyDescent="0.25">
      <c r="B14" s="426" t="s">
        <v>136</v>
      </c>
      <c r="C14" s="497">
        <v>5</v>
      </c>
      <c r="D14" s="498">
        <v>0.88</v>
      </c>
      <c r="E14" s="498">
        <v>20</v>
      </c>
      <c r="F14" s="499">
        <v>0.55000000000000004</v>
      </c>
      <c r="G14" s="1">
        <v>0.45</v>
      </c>
      <c r="I14" s="426" t="s">
        <v>136</v>
      </c>
      <c r="J14" s="498"/>
      <c r="K14" s="499"/>
    </row>
    <row r="15" spans="1:14" ht="15.75" hidden="1" thickBot="1" x14ac:dyDescent="0.3">
      <c r="B15" s="493" t="s">
        <v>137</v>
      </c>
      <c r="C15" s="500">
        <v>1</v>
      </c>
      <c r="D15" s="501">
        <v>0.88</v>
      </c>
      <c r="E15" s="501">
        <v>20</v>
      </c>
      <c r="F15" s="502">
        <v>0.51</v>
      </c>
      <c r="G15" s="1">
        <v>0.41</v>
      </c>
      <c r="I15" s="493" t="s">
        <v>137</v>
      </c>
      <c r="J15" s="501"/>
      <c r="K15" s="502"/>
    </row>
    <row r="17" spans="1:14" hidden="1" x14ac:dyDescent="0.25">
      <c r="A17" s="488"/>
      <c r="B17" s="488"/>
      <c r="C17" s="488"/>
      <c r="D17" s="488"/>
      <c r="E17" s="488"/>
      <c r="F17" s="488"/>
      <c r="G17" s="488"/>
      <c r="H17" s="488"/>
      <c r="I17" s="488"/>
      <c r="J17" s="488"/>
      <c r="K17" s="488"/>
      <c r="L17" s="488"/>
      <c r="M17" s="488"/>
      <c r="N17" s="488"/>
    </row>
    <row r="18" spans="1:14" x14ac:dyDescent="0.25">
      <c r="A18" s="692" t="s">
        <v>629</v>
      </c>
      <c r="B18" s="692"/>
      <c r="C18" s="692"/>
      <c r="D18" s="692"/>
      <c r="E18" s="692"/>
      <c r="F18" s="692"/>
      <c r="G18" s="15"/>
      <c r="H18" s="692" t="s">
        <v>612</v>
      </c>
      <c r="I18" s="692"/>
      <c r="J18" s="692"/>
      <c r="K18" s="692"/>
      <c r="L18" s="692"/>
      <c r="M18" s="692"/>
      <c r="N18" s="15"/>
    </row>
    <row r="19" spans="1:14" ht="15.75" thickBot="1" x14ac:dyDescent="0.3">
      <c r="A19" s="21"/>
      <c r="B19" s="21"/>
      <c r="C19" s="21"/>
      <c r="D19" s="21"/>
      <c r="E19" s="21"/>
      <c r="F19" s="21"/>
      <c r="G19" s="21"/>
      <c r="H19" s="21"/>
      <c r="I19" s="21"/>
      <c r="J19" s="21"/>
      <c r="K19" s="21"/>
      <c r="L19" s="21"/>
      <c r="M19" s="21"/>
      <c r="N19" s="21"/>
    </row>
    <row r="20" spans="1:14" ht="60.75" thickBot="1" x14ac:dyDescent="0.3">
      <c r="A20" s="21"/>
      <c r="B20" s="21"/>
      <c r="C20" s="437" t="s">
        <v>630</v>
      </c>
      <c r="D20" s="546" t="s">
        <v>632</v>
      </c>
      <c r="E20" s="438" t="s">
        <v>631</v>
      </c>
      <c r="F20" s="21"/>
      <c r="G20" s="21"/>
      <c r="H20" s="21"/>
      <c r="I20" s="21"/>
      <c r="J20" s="21"/>
      <c r="K20" s="437" t="s">
        <v>633</v>
      </c>
      <c r="L20" s="438" t="s">
        <v>634</v>
      </c>
      <c r="M20" s="21"/>
      <c r="N20" s="21"/>
    </row>
    <row r="21" spans="1:14" ht="15" customHeight="1" x14ac:dyDescent="0.25">
      <c r="A21" s="21"/>
      <c r="B21" s="547" t="s">
        <v>25</v>
      </c>
      <c r="C21" s="429"/>
      <c r="D21" s="430"/>
      <c r="E21" s="450"/>
      <c r="F21" s="21"/>
      <c r="G21" s="21"/>
      <c r="H21" s="21"/>
      <c r="I21" s="153"/>
      <c r="J21" s="404" t="s">
        <v>599</v>
      </c>
      <c r="K21" s="407"/>
      <c r="L21" s="408"/>
      <c r="M21" s="21"/>
      <c r="N21" s="21"/>
    </row>
    <row r="22" spans="1:14" ht="15" customHeight="1" x14ac:dyDescent="0.25">
      <c r="A22" s="21"/>
      <c r="B22" s="427">
        <v>1</v>
      </c>
      <c r="C22" s="433"/>
      <c r="D22" s="434"/>
      <c r="E22" s="435" t="str">
        <f t="array" ref="E22:E31">IFERROR(C22:C31/D22:D31,"")</f>
        <v/>
      </c>
      <c r="F22" s="21"/>
      <c r="G22" s="21"/>
      <c r="H22" s="21"/>
      <c r="I22" s="153"/>
      <c r="J22" s="405" t="s">
        <v>600</v>
      </c>
      <c r="K22" s="409"/>
      <c r="L22" s="410"/>
      <c r="M22" s="21"/>
      <c r="N22" s="21"/>
    </row>
    <row r="23" spans="1:14" x14ac:dyDescent="0.25">
      <c r="A23" s="21"/>
      <c r="B23" s="427">
        <v>2</v>
      </c>
      <c r="C23" s="433"/>
      <c r="D23" s="434"/>
      <c r="E23" s="435" t="str">
        <v/>
      </c>
      <c r="F23" s="21"/>
      <c r="G23" s="21"/>
      <c r="H23" s="21"/>
      <c r="I23" s="153"/>
      <c r="J23" s="405" t="s">
        <v>601</v>
      </c>
      <c r="K23" s="409"/>
      <c r="L23" s="410"/>
      <c r="M23" s="21"/>
      <c r="N23" s="21"/>
    </row>
    <row r="24" spans="1:14" x14ac:dyDescent="0.25">
      <c r="A24" s="21"/>
      <c r="B24" s="427">
        <v>3</v>
      </c>
      <c r="C24" s="433"/>
      <c r="D24" s="434"/>
      <c r="E24" s="435" t="str">
        <v/>
      </c>
      <c r="F24" s="21"/>
      <c r="G24" s="21"/>
      <c r="H24" s="21"/>
      <c r="I24" s="153"/>
      <c r="J24" s="405" t="s">
        <v>602</v>
      </c>
      <c r="K24" s="409"/>
      <c r="L24" s="410"/>
      <c r="M24" s="21"/>
      <c r="N24" s="21"/>
    </row>
    <row r="25" spans="1:14" x14ac:dyDescent="0.25">
      <c r="A25" s="21"/>
      <c r="B25" s="427">
        <v>4</v>
      </c>
      <c r="C25" s="433"/>
      <c r="D25" s="434"/>
      <c r="E25" s="435" t="str">
        <v/>
      </c>
      <c r="F25" s="21"/>
      <c r="G25" s="21"/>
      <c r="H25" s="21"/>
      <c r="I25" s="153"/>
      <c r="J25" s="405" t="s">
        <v>603</v>
      </c>
      <c r="K25" s="409"/>
      <c r="L25" s="410"/>
      <c r="M25" s="21"/>
      <c r="N25" s="21"/>
    </row>
    <row r="26" spans="1:14" x14ac:dyDescent="0.25">
      <c r="A26" s="21"/>
      <c r="B26" s="427">
        <v>5</v>
      </c>
      <c r="C26" s="433"/>
      <c r="D26" s="434"/>
      <c r="E26" s="435" t="str">
        <v/>
      </c>
      <c r="F26" s="21"/>
      <c r="G26" s="21"/>
      <c r="H26" s="21"/>
      <c r="I26" s="153"/>
      <c r="J26" s="405" t="s">
        <v>604</v>
      </c>
      <c r="K26" s="409"/>
      <c r="L26" s="410"/>
      <c r="M26" s="21"/>
      <c r="N26" s="21"/>
    </row>
    <row r="27" spans="1:14" x14ac:dyDescent="0.25">
      <c r="A27" s="21"/>
      <c r="B27" s="427">
        <v>6</v>
      </c>
      <c r="C27" s="433"/>
      <c r="D27" s="434"/>
      <c r="E27" s="435" t="str">
        <v/>
      </c>
      <c r="F27" s="21"/>
      <c r="G27" s="21"/>
      <c r="H27" s="21"/>
      <c r="I27" s="153"/>
      <c r="J27" s="405" t="s">
        <v>608</v>
      </c>
      <c r="K27" s="409"/>
      <c r="L27" s="410"/>
      <c r="M27" s="21"/>
      <c r="N27" s="21"/>
    </row>
    <row r="28" spans="1:14" ht="15.75" customHeight="1" x14ac:dyDescent="0.25">
      <c r="A28" s="21"/>
      <c r="B28" s="427">
        <v>7</v>
      </c>
      <c r="C28" s="433"/>
      <c r="D28" s="434"/>
      <c r="E28" s="435" t="str">
        <v/>
      </c>
      <c r="F28" s="21"/>
      <c r="G28" s="21"/>
      <c r="H28" s="21"/>
      <c r="I28" s="153"/>
      <c r="J28" s="405" t="s">
        <v>609</v>
      </c>
      <c r="K28" s="409"/>
      <c r="L28" s="410"/>
      <c r="M28" s="21"/>
      <c r="N28" s="21"/>
    </row>
    <row r="29" spans="1:14" ht="15" customHeight="1" x14ac:dyDescent="0.25">
      <c r="A29" s="21"/>
      <c r="B29" s="427">
        <v>8</v>
      </c>
      <c r="C29" s="433"/>
      <c r="D29" s="434"/>
      <c r="E29" s="435" t="str">
        <v/>
      </c>
      <c r="F29" s="21"/>
      <c r="G29" s="21"/>
      <c r="H29" s="21"/>
      <c r="I29" s="153"/>
      <c r="J29" s="405" t="s">
        <v>610</v>
      </c>
      <c r="K29" s="409"/>
      <c r="L29" s="410"/>
      <c r="M29" s="21"/>
      <c r="N29" s="21"/>
    </row>
    <row r="30" spans="1:14" ht="15.75" thickBot="1" x14ac:dyDescent="0.3">
      <c r="A30" s="21"/>
      <c r="B30" s="427">
        <v>9</v>
      </c>
      <c r="C30" s="433"/>
      <c r="D30" s="434"/>
      <c r="E30" s="435" t="str">
        <v/>
      </c>
      <c r="F30" s="21"/>
      <c r="G30" s="21"/>
      <c r="H30" s="21"/>
      <c r="I30" s="153"/>
      <c r="J30" s="406" t="s">
        <v>611</v>
      </c>
      <c r="K30" s="411"/>
      <c r="L30" s="412"/>
      <c r="M30" s="21"/>
      <c r="N30" s="21"/>
    </row>
    <row r="31" spans="1:14" x14ac:dyDescent="0.25">
      <c r="A31" s="21"/>
      <c r="B31" s="427">
        <v>10</v>
      </c>
      <c r="C31" s="433"/>
      <c r="D31" s="434"/>
      <c r="E31" s="435" t="str">
        <v/>
      </c>
      <c r="F31" s="21"/>
      <c r="G31" s="21"/>
      <c r="H31" s="21"/>
      <c r="I31" s="21"/>
      <c r="J31" s="21"/>
      <c r="K31" s="21"/>
      <c r="L31" s="21"/>
      <c r="M31" s="21"/>
      <c r="N31" s="21"/>
    </row>
    <row r="32" spans="1:14" ht="15.75" thickBot="1" x14ac:dyDescent="0.3">
      <c r="A32" s="21"/>
      <c r="B32" s="428" t="s">
        <v>105</v>
      </c>
      <c r="C32" s="431"/>
      <c r="D32" s="432"/>
      <c r="E32" s="451"/>
      <c r="F32" s="21"/>
      <c r="G32" s="21"/>
      <c r="H32" s="21" t="s">
        <v>614</v>
      </c>
      <c r="I32" s="21"/>
      <c r="J32" s="21"/>
      <c r="K32" s="334" t="str">
        <f>IF(SUM($K$21:$K$30)&gt;0,SUM($K$21:$K$30),"")</f>
        <v/>
      </c>
      <c r="L32" s="21" t="s">
        <v>606</v>
      </c>
      <c r="M32" s="21"/>
      <c r="N32" s="21"/>
    </row>
    <row r="33" spans="1:14" ht="18.75" thickBot="1" x14ac:dyDescent="0.4">
      <c r="A33" s="21"/>
      <c r="B33" s="21"/>
      <c r="C33" s="21"/>
      <c r="D33" s="436" t="s">
        <v>123</v>
      </c>
      <c r="E33" s="386" t="str">
        <f>IF(SUM(E21:E32)&gt;0,SUM(E21:E32),"")</f>
        <v/>
      </c>
      <c r="F33" s="21"/>
      <c r="G33" s="21"/>
      <c r="H33" s="425" t="s">
        <v>613</v>
      </c>
      <c r="I33" s="425"/>
      <c r="J33" s="425"/>
      <c r="K33" s="334" t="str">
        <f t="array" ref="K33">IFERROR(SUMPRODUCT(K21:K26*L21:L26)/$K$32,"")</f>
        <v/>
      </c>
      <c r="L33" s="21" t="s">
        <v>607</v>
      </c>
      <c r="M33" s="21"/>
      <c r="N33" s="21"/>
    </row>
    <row r="34" spans="1:14" ht="15" customHeight="1" thickBot="1" x14ac:dyDescent="0.3">
      <c r="A34" s="21"/>
      <c r="B34" s="21"/>
      <c r="C34" s="21"/>
      <c r="D34" s="436" t="s">
        <v>605</v>
      </c>
      <c r="E34" s="386" t="str">
        <f>IFERROR(1/$E$33,"")</f>
        <v/>
      </c>
      <c r="F34" s="21"/>
      <c r="G34" s="21"/>
      <c r="H34" s="21"/>
      <c r="I34" s="21"/>
      <c r="J34" s="21"/>
      <c r="K34" s="21"/>
      <c r="L34" s="21"/>
      <c r="M34" s="21"/>
      <c r="N34" s="21"/>
    </row>
    <row r="35" spans="1:14" x14ac:dyDescent="0.25">
      <c r="A35" s="21"/>
      <c r="B35" s="21"/>
      <c r="C35" s="21"/>
      <c r="D35" s="21"/>
      <c r="E35" s="21"/>
      <c r="F35" s="21"/>
      <c r="G35" s="21"/>
      <c r="H35" s="21"/>
      <c r="I35" s="21"/>
      <c r="J35" s="21"/>
      <c r="K35" s="21"/>
      <c r="L35" s="21"/>
      <c r="M35" s="21"/>
      <c r="N35" s="21"/>
    </row>
    <row r="36" spans="1:14" x14ac:dyDescent="0.25">
      <c r="A36" s="692" t="s">
        <v>520</v>
      </c>
      <c r="B36" s="692"/>
      <c r="C36" s="692"/>
      <c r="D36" s="692"/>
      <c r="E36" s="692"/>
      <c r="F36" s="692"/>
      <c r="G36" s="21"/>
      <c r="H36" s="692" t="s">
        <v>521</v>
      </c>
      <c r="I36" s="692"/>
      <c r="J36" s="692"/>
      <c r="K36" s="692"/>
      <c r="L36" s="692"/>
      <c r="M36" s="692"/>
      <c r="N36" s="21"/>
    </row>
    <row r="37" spans="1:14" ht="15" customHeight="1" x14ac:dyDescent="0.25">
      <c r="A37" s="303" t="s">
        <v>517</v>
      </c>
      <c r="B37" s="422"/>
      <c r="C37" s="21" t="s">
        <v>424</v>
      </c>
      <c r="D37" s="303" t="s">
        <v>519</v>
      </c>
      <c r="E37" s="422"/>
      <c r="F37" s="21" t="s">
        <v>424</v>
      </c>
      <c r="G37" s="21"/>
      <c r="H37" s="333" t="s">
        <v>514</v>
      </c>
      <c r="I37" s="443"/>
      <c r="J37" s="21" t="s">
        <v>503</v>
      </c>
      <c r="K37" s="402" t="s">
        <v>515</v>
      </c>
      <c r="L37" s="334" t="str">
        <f>IF($I$37&gt;0,$I$37*VLOOKUP($J$37,Conversion_permeabilidad[],2,FALSE),"")</f>
        <v/>
      </c>
      <c r="M37" s="21" t="s">
        <v>501</v>
      </c>
      <c r="N37" s="403"/>
    </row>
    <row r="38" spans="1:14" x14ac:dyDescent="0.25">
      <c r="A38" s="303" t="s">
        <v>518</v>
      </c>
      <c r="B38" s="447"/>
      <c r="C38" s="21" t="s">
        <v>424</v>
      </c>
      <c r="D38" s="335"/>
      <c r="E38" s="21"/>
      <c r="F38" s="21"/>
      <c r="G38" s="21"/>
      <c r="H38" s="333" t="s">
        <v>514</v>
      </c>
      <c r="I38" s="444"/>
      <c r="J38" s="21" t="s">
        <v>505</v>
      </c>
      <c r="K38" s="402" t="s">
        <v>515</v>
      </c>
      <c r="L38" s="334" t="str">
        <f>IF($I$38&gt;0,$I$38*VLOOKUP($J$38,Conversion_permeabilidad[],2,FALSE),"")</f>
        <v/>
      </c>
      <c r="M38" s="21" t="s">
        <v>501</v>
      </c>
      <c r="N38" s="403"/>
    </row>
    <row r="39" spans="1:14" ht="18" x14ac:dyDescent="0.35">
      <c r="A39" s="693" t="s">
        <v>586</v>
      </c>
      <c r="B39" s="693"/>
      <c r="C39" s="693"/>
      <c r="D39" s="693"/>
      <c r="E39" s="422"/>
      <c r="F39" s="21" t="s">
        <v>423</v>
      </c>
      <c r="G39" s="21"/>
      <c r="H39" s="21"/>
      <c r="I39" s="21"/>
      <c r="J39" s="21"/>
      <c r="K39" s="21"/>
      <c r="L39" s="21"/>
      <c r="M39" s="21"/>
      <c r="N39" s="21"/>
    </row>
    <row r="40" spans="1:14" x14ac:dyDescent="0.25">
      <c r="A40" s="693" t="s">
        <v>525</v>
      </c>
      <c r="B40" s="693"/>
      <c r="C40" s="693"/>
      <c r="D40" s="693"/>
      <c r="E40" s="446"/>
      <c r="F40" s="21"/>
      <c r="G40" s="21"/>
      <c r="H40" s="692" t="s">
        <v>522</v>
      </c>
      <c r="I40" s="692"/>
      <c r="J40" s="692"/>
      <c r="K40" s="692"/>
      <c r="L40" s="692"/>
      <c r="M40" s="692"/>
      <c r="N40" s="21"/>
    </row>
    <row r="41" spans="1:14" x14ac:dyDescent="0.25">
      <c r="A41" s="21"/>
      <c r="B41" s="21"/>
      <c r="C41" s="21"/>
      <c r="D41" s="21"/>
      <c r="E41" s="21"/>
      <c r="F41" s="21"/>
      <c r="G41" s="21"/>
      <c r="H41" s="333" t="s">
        <v>514</v>
      </c>
      <c r="I41" s="445"/>
      <c r="J41" s="21" t="s">
        <v>501</v>
      </c>
      <c r="K41" s="402" t="s">
        <v>516</v>
      </c>
      <c r="L41" s="334" t="str">
        <f>IF($I$41&gt;0,δ_0/$I$41,"")</f>
        <v/>
      </c>
      <c r="M41" s="21"/>
      <c r="N41" s="21"/>
    </row>
    <row r="42" spans="1:14" x14ac:dyDescent="0.25">
      <c r="A42" s="303" t="s">
        <v>115</v>
      </c>
      <c r="B42" s="309" t="str">
        <f>IF($B$37*$B$38*$E$37*$E$39&gt;0,(VLOOKUP($E$40,NCh853_Rsup[],2,FALSE)+VLOOKUP($E$40,NCh853_Rsup[],3,FALSE))*(B38/(B38+E37))+(B37/E39)*(B38/E37),"")</f>
        <v/>
      </c>
      <c r="C42" s="336" t="s">
        <v>27</v>
      </c>
      <c r="D42" s="21"/>
      <c r="E42" s="21"/>
      <c r="F42" s="21"/>
      <c r="G42" s="21"/>
      <c r="H42" s="21"/>
      <c r="I42" s="21"/>
      <c r="J42" s="21"/>
      <c r="K42" s="21"/>
      <c r="L42" s="21"/>
      <c r="M42" s="21"/>
      <c r="N42" s="21"/>
    </row>
    <row r="43" spans="1:14" x14ac:dyDescent="0.25">
      <c r="A43" s="21"/>
      <c r="B43" s="21"/>
      <c r="C43" s="21"/>
      <c r="D43" s="21"/>
      <c r="E43" s="21"/>
      <c r="F43" s="21"/>
      <c r="G43" s="21"/>
      <c r="H43" s="21"/>
      <c r="I43" s="240"/>
      <c r="J43" s="240"/>
      <c r="K43" s="240"/>
      <c r="L43" s="240"/>
      <c r="M43" s="21"/>
      <c r="N43" s="21"/>
    </row>
    <row r="44" spans="1:14" x14ac:dyDescent="0.25">
      <c r="A44" s="21"/>
      <c r="B44" s="21"/>
      <c r="C44" s="21"/>
      <c r="D44" s="21"/>
      <c r="E44" s="21"/>
      <c r="F44" s="21"/>
      <c r="G44" s="21"/>
      <c r="H44" s="21"/>
      <c r="I44" s="240"/>
      <c r="J44" s="240"/>
      <c r="K44" s="240"/>
      <c r="L44" s="240"/>
      <c r="M44" s="21"/>
      <c r="N44" s="21"/>
    </row>
    <row r="45" spans="1:14" x14ac:dyDescent="0.25">
      <c r="A45" s="21"/>
      <c r="B45" s="21"/>
      <c r="C45" s="21"/>
      <c r="D45" s="21"/>
      <c r="E45" s="21"/>
      <c r="F45" s="21"/>
      <c r="G45" s="21"/>
      <c r="H45" s="21"/>
      <c r="I45" s="240"/>
      <c r="J45" s="240"/>
      <c r="K45" s="240"/>
      <c r="L45" s="240"/>
      <c r="M45" s="21"/>
      <c r="N45" s="21"/>
    </row>
    <row r="46" spans="1:14" x14ac:dyDescent="0.25">
      <c r="A46" s="21"/>
      <c r="B46" s="21"/>
      <c r="C46" s="21"/>
      <c r="D46" s="21"/>
      <c r="E46" s="21"/>
      <c r="F46" s="21"/>
      <c r="G46" s="21"/>
      <c r="H46" s="21"/>
      <c r="I46" s="240"/>
      <c r="J46" s="240"/>
      <c r="K46" s="240"/>
      <c r="L46" s="240"/>
      <c r="M46" s="21"/>
      <c r="N46" s="21"/>
    </row>
    <row r="47" spans="1:14" x14ac:dyDescent="0.25">
      <c r="A47" s="21"/>
      <c r="B47" s="21"/>
      <c r="C47" s="21"/>
      <c r="D47" s="21"/>
      <c r="E47" s="21"/>
      <c r="F47" s="21"/>
      <c r="G47" s="21"/>
      <c r="H47" s="21"/>
      <c r="I47" s="240"/>
      <c r="J47" s="240"/>
      <c r="K47" s="240"/>
      <c r="L47" s="240"/>
      <c r="M47" s="21"/>
      <c r="N47" s="21"/>
    </row>
    <row r="48" spans="1:14" x14ac:dyDescent="0.25">
      <c r="A48" s="21"/>
      <c r="B48" s="21"/>
      <c r="C48" s="21"/>
      <c r="D48" s="21"/>
      <c r="E48" s="21"/>
      <c r="F48" s="21"/>
      <c r="G48" s="21"/>
      <c r="H48" s="21"/>
      <c r="I48" s="240"/>
      <c r="J48" s="240"/>
      <c r="K48" s="240"/>
      <c r="L48" s="240"/>
      <c r="M48" s="21"/>
      <c r="N48" s="21"/>
    </row>
    <row r="49" spans="1:14" x14ac:dyDescent="0.25">
      <c r="A49" s="21"/>
      <c r="B49" s="21"/>
      <c r="C49" s="21"/>
      <c r="D49" s="21"/>
      <c r="E49" s="21"/>
      <c r="F49" s="21"/>
      <c r="G49" s="21"/>
      <c r="H49" s="21"/>
      <c r="I49" s="240"/>
      <c r="J49" s="240"/>
      <c r="K49" s="240"/>
      <c r="L49" s="240"/>
      <c r="M49" s="21"/>
      <c r="N49" s="21"/>
    </row>
    <row r="50" spans="1:14" x14ac:dyDescent="0.25">
      <c r="A50" s="21"/>
      <c r="B50" s="21"/>
      <c r="C50" s="21"/>
      <c r="D50" s="21"/>
      <c r="E50" s="21"/>
      <c r="F50" s="21"/>
      <c r="G50" s="21"/>
      <c r="H50" s="21"/>
      <c r="I50" s="240"/>
      <c r="J50" s="240"/>
      <c r="K50" s="240"/>
      <c r="L50" s="240"/>
      <c r="M50" s="21"/>
      <c r="N50" s="21"/>
    </row>
    <row r="51" spans="1:14" x14ac:dyDescent="0.25">
      <c r="A51" s="21"/>
      <c r="B51" s="21"/>
      <c r="C51" s="21"/>
      <c r="D51" s="21"/>
      <c r="E51" s="21"/>
      <c r="F51" s="21"/>
      <c r="G51" s="21"/>
      <c r="H51" s="21"/>
      <c r="I51" s="240"/>
      <c r="J51" s="240"/>
      <c r="K51" s="240"/>
      <c r="L51" s="240"/>
      <c r="M51" s="21"/>
      <c r="N51" s="21"/>
    </row>
    <row r="52" spans="1:14" x14ac:dyDescent="0.25">
      <c r="A52" s="21"/>
      <c r="B52" s="21"/>
      <c r="C52" s="21"/>
      <c r="D52" s="21"/>
      <c r="E52" s="21"/>
      <c r="F52" s="21"/>
      <c r="G52" s="21"/>
      <c r="H52" s="21"/>
      <c r="I52" s="240"/>
      <c r="J52" s="240"/>
      <c r="K52" s="240"/>
      <c r="L52" s="240"/>
      <c r="M52" s="21"/>
      <c r="N52" s="21"/>
    </row>
    <row r="53" spans="1:14" x14ac:dyDescent="0.25">
      <c r="A53" s="21"/>
      <c r="B53" s="21"/>
      <c r="C53" s="21"/>
      <c r="D53" s="21"/>
      <c r="E53" s="21"/>
      <c r="F53" s="21"/>
      <c r="G53" s="21"/>
      <c r="H53" s="21"/>
      <c r="I53" s="240"/>
      <c r="J53" s="240"/>
      <c r="K53" s="240"/>
      <c r="L53" s="240"/>
      <c r="M53" s="21"/>
      <c r="N53" s="21"/>
    </row>
    <row r="54" spans="1:14" x14ac:dyDescent="0.25">
      <c r="A54" s="21"/>
      <c r="B54" s="21"/>
      <c r="C54" s="21"/>
      <c r="D54" s="21"/>
      <c r="E54" s="21"/>
      <c r="F54" s="21"/>
      <c r="G54" s="21"/>
      <c r="H54" s="21"/>
      <c r="I54" s="240"/>
      <c r="J54" s="240"/>
      <c r="K54" s="240"/>
      <c r="L54" s="240"/>
      <c r="M54" s="21"/>
      <c r="N54" s="21"/>
    </row>
    <row r="55" spans="1:14" x14ac:dyDescent="0.25">
      <c r="A55" s="692" t="s">
        <v>616</v>
      </c>
      <c r="B55" s="692"/>
      <c r="C55" s="692"/>
      <c r="D55" s="692"/>
      <c r="E55" s="692"/>
      <c r="F55" s="692"/>
      <c r="G55" s="692"/>
      <c r="H55" s="692"/>
      <c r="I55" s="692"/>
      <c r="J55" s="692"/>
      <c r="K55" s="692"/>
      <c r="L55" s="692"/>
      <c r="M55" s="692"/>
      <c r="N55" s="692"/>
    </row>
    <row r="56" spans="1:14" x14ac:dyDescent="0.25">
      <c r="A56" s="423"/>
      <c r="B56" s="423" t="s">
        <v>617</v>
      </c>
      <c r="C56" s="423" t="s">
        <v>618</v>
      </c>
      <c r="D56" s="423" t="s">
        <v>619</v>
      </c>
      <c r="E56" s="423" t="s">
        <v>620</v>
      </c>
      <c r="F56" s="423" t="s">
        <v>621</v>
      </c>
      <c r="G56" s="423" t="s">
        <v>622</v>
      </c>
      <c r="H56" s="423" t="s">
        <v>623</v>
      </c>
      <c r="I56" s="423" t="s">
        <v>624</v>
      </c>
      <c r="J56" s="423" t="s">
        <v>625</v>
      </c>
      <c r="K56" s="423" t="s">
        <v>626</v>
      </c>
      <c r="L56" s="423" t="s">
        <v>627</v>
      </c>
      <c r="M56" s="423" t="s">
        <v>628</v>
      </c>
      <c r="N56" s="423"/>
    </row>
    <row r="57" spans="1:14" s="301" customFormat="1" x14ac:dyDescent="0.25">
      <c r="A57" s="424">
        <v>40</v>
      </c>
      <c r="B57" s="413"/>
      <c r="C57" s="414"/>
      <c r="D57" s="414"/>
      <c r="E57" s="414"/>
      <c r="F57" s="414"/>
      <c r="G57" s="414"/>
      <c r="H57" s="414"/>
      <c r="I57" s="414"/>
      <c r="J57" s="414"/>
      <c r="K57" s="414"/>
      <c r="L57" s="414"/>
      <c r="M57" s="415"/>
      <c r="N57" s="21"/>
    </row>
    <row r="58" spans="1:14" s="301" customFormat="1" x14ac:dyDescent="0.25">
      <c r="A58" s="424">
        <v>41</v>
      </c>
      <c r="B58" s="416"/>
      <c r="C58" s="417"/>
      <c r="D58" s="417"/>
      <c r="E58" s="417"/>
      <c r="F58" s="417"/>
      <c r="G58" s="417"/>
      <c r="H58" s="417"/>
      <c r="I58" s="417"/>
      <c r="J58" s="417"/>
      <c r="K58" s="417"/>
      <c r="L58" s="417"/>
      <c r="M58" s="418"/>
      <c r="N58" s="21"/>
    </row>
    <row r="59" spans="1:14" s="301" customFormat="1" x14ac:dyDescent="0.25">
      <c r="A59" s="424">
        <v>42</v>
      </c>
      <c r="B59" s="416"/>
      <c r="C59" s="417"/>
      <c r="D59" s="417"/>
      <c r="E59" s="417"/>
      <c r="F59" s="417"/>
      <c r="G59" s="417"/>
      <c r="H59" s="417"/>
      <c r="I59" s="417"/>
      <c r="J59" s="417"/>
      <c r="K59" s="417"/>
      <c r="L59" s="417"/>
      <c r="M59" s="418"/>
      <c r="N59" s="21"/>
    </row>
    <row r="60" spans="1:14" s="301" customFormat="1" x14ac:dyDescent="0.25">
      <c r="A60" s="424">
        <v>43</v>
      </c>
      <c r="B60" s="416"/>
      <c r="C60" s="417"/>
      <c r="D60" s="417"/>
      <c r="E60" s="417"/>
      <c r="F60" s="417"/>
      <c r="G60" s="417"/>
      <c r="H60" s="417"/>
      <c r="I60" s="417"/>
      <c r="J60" s="417"/>
      <c r="K60" s="417"/>
      <c r="L60" s="417"/>
      <c r="M60" s="418"/>
      <c r="N60" s="21"/>
    </row>
    <row r="61" spans="1:14" s="301" customFormat="1" x14ac:dyDescent="0.25">
      <c r="A61" s="424">
        <v>44</v>
      </c>
      <c r="B61" s="416"/>
      <c r="C61" s="417"/>
      <c r="D61" s="417"/>
      <c r="E61" s="417"/>
      <c r="F61" s="417"/>
      <c r="G61" s="417"/>
      <c r="H61" s="417"/>
      <c r="I61" s="417"/>
      <c r="J61" s="417"/>
      <c r="K61" s="417"/>
      <c r="L61" s="417"/>
      <c r="M61" s="418"/>
      <c r="N61" s="21"/>
    </row>
    <row r="62" spans="1:14" s="301" customFormat="1" x14ac:dyDescent="0.25">
      <c r="A62" s="424">
        <v>45</v>
      </c>
      <c r="B62" s="416"/>
      <c r="C62" s="417"/>
      <c r="D62" s="417"/>
      <c r="E62" s="417"/>
      <c r="F62" s="417"/>
      <c r="G62" s="417"/>
      <c r="H62" s="417"/>
      <c r="I62" s="417"/>
      <c r="J62" s="417"/>
      <c r="K62" s="417"/>
      <c r="L62" s="417"/>
      <c r="M62" s="418"/>
      <c r="N62" s="21"/>
    </row>
    <row r="63" spans="1:14" s="301" customFormat="1" x14ac:dyDescent="0.25">
      <c r="A63" s="424">
        <v>46</v>
      </c>
      <c r="B63" s="416"/>
      <c r="C63" s="417"/>
      <c r="D63" s="417"/>
      <c r="E63" s="417"/>
      <c r="F63" s="417"/>
      <c r="G63" s="417"/>
      <c r="H63" s="417"/>
      <c r="I63" s="417"/>
      <c r="J63" s="417"/>
      <c r="K63" s="417"/>
      <c r="L63" s="417"/>
      <c r="M63" s="418"/>
      <c r="N63" s="21"/>
    </row>
    <row r="64" spans="1:14" s="301" customFormat="1" x14ac:dyDescent="0.25">
      <c r="A64" s="424">
        <v>47</v>
      </c>
      <c r="B64" s="416"/>
      <c r="C64" s="417"/>
      <c r="D64" s="417"/>
      <c r="E64" s="417"/>
      <c r="F64" s="417"/>
      <c r="G64" s="417"/>
      <c r="H64" s="417"/>
      <c r="I64" s="417"/>
      <c r="J64" s="417"/>
      <c r="K64" s="417"/>
      <c r="L64" s="417"/>
      <c r="M64" s="418"/>
      <c r="N64" s="21"/>
    </row>
    <row r="65" spans="1:14" s="301" customFormat="1" x14ac:dyDescent="0.25">
      <c r="A65" s="424">
        <v>48</v>
      </c>
      <c r="B65" s="416"/>
      <c r="C65" s="417"/>
      <c r="D65" s="417"/>
      <c r="E65" s="417"/>
      <c r="F65" s="417"/>
      <c r="G65" s="417"/>
      <c r="H65" s="417"/>
      <c r="I65" s="417"/>
      <c r="J65" s="417"/>
      <c r="K65" s="417"/>
      <c r="L65" s="417"/>
      <c r="M65" s="418"/>
      <c r="N65" s="21"/>
    </row>
    <row r="66" spans="1:14" s="301" customFormat="1" ht="15.75" customHeight="1" x14ac:dyDescent="0.25">
      <c r="A66" s="424">
        <v>49</v>
      </c>
      <c r="B66" s="419"/>
      <c r="C66" s="420"/>
      <c r="D66" s="420"/>
      <c r="E66" s="420"/>
      <c r="F66" s="420"/>
      <c r="G66" s="420"/>
      <c r="H66" s="420"/>
      <c r="I66" s="420"/>
      <c r="J66" s="420"/>
      <c r="K66" s="420"/>
      <c r="L66" s="420"/>
      <c r="M66" s="421"/>
      <c r="N66" s="21"/>
    </row>
    <row r="67" spans="1:14" s="301" customFormat="1" ht="15.75" customHeight="1" x14ac:dyDescent="0.25">
      <c r="A67" s="424"/>
      <c r="B67" s="21"/>
      <c r="C67" s="21"/>
      <c r="D67" s="21"/>
      <c r="E67" s="21"/>
      <c r="F67" s="21"/>
      <c r="G67" s="21"/>
      <c r="H67" s="21"/>
      <c r="I67" s="21"/>
      <c r="J67" s="21"/>
      <c r="K67" s="21"/>
      <c r="L67" s="21"/>
      <c r="M67" s="21"/>
      <c r="N67" s="21"/>
    </row>
    <row r="75" spans="1:14" ht="15.75" hidden="1" customHeight="1" x14ac:dyDescent="0.25"/>
    <row r="76" spans="1:14" ht="15.75" hidden="1" customHeight="1" x14ac:dyDescent="0.25"/>
  </sheetData>
  <sheetProtection algorithmName="SHA-512" hashValue="HYdm3QMFAPUH+MYpBreuudpktmSpz+k5/E9Z0nDgp4dmbTY+EuCcmskCtVCk99y5FsI+nd2GxTw8tJ/MDykhlg==" saltValue="LtXIUs9SHTUawPSTn3sRoQ==" spinCount="100000" sheet="1" objects="1" scenarios="1"/>
  <mergeCells count="10">
    <mergeCell ref="A2:F2"/>
    <mergeCell ref="H2:M2"/>
    <mergeCell ref="A55:N55"/>
    <mergeCell ref="A18:F18"/>
    <mergeCell ref="H18:M18"/>
    <mergeCell ref="H36:M36"/>
    <mergeCell ref="H40:M40"/>
    <mergeCell ref="A40:D40"/>
    <mergeCell ref="A36:F36"/>
    <mergeCell ref="A39:D39"/>
  </mergeCells>
  <conditionalFormatting sqref="B42">
    <cfRule type="containsErrors" dxfId="0" priority="1">
      <formula>ISERROR(B42)</formula>
    </cfRule>
  </conditionalFormatting>
  <dataValidations disablePrompts="1" count="1">
    <dataValidation type="list" allowBlank="1" showInputMessage="1" showErrorMessage="1" error="El valor debe ser mayor que la humedad relativa del aire interior" sqref="E40" xr:uid="{00000000-0002-0000-0600-000000000000}">
      <formula1>lista_direccion_flujo</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T a b l e X M L _ M a t e r i a l e s " > < C u s t o m C o n t e n t > < ! [ C D A T A [ < T a b l e W i d g e t G r i d S e r i a l i z a t i o n   x m l n s : x s i = " h t t p : / / w w w . w 3 . o r g / 2 0 0 1 / X M L S c h e m a - i n s t a n c e "   x m l n s : x s d = " h t t p : / / w w w . w 3 . o r g / 2 0 0 1 / X M L S c h e m a " > < C o l u m n S u g g e s t e d T y p e   / > < C o l u m n F o r m a t   / > < C o l u m n A c c u r a c y   / > < C o l u m n C u r r e n c y S y m b o l   / > < C o l u m n P o s i t i v e P a t t e r n   / > < C o l u m n N e g a t i v e P a t t e r n   / > < C o l u m n W i d t h s > < i t e m > < k e y > < s t r i n g > M a t e r i a l < / s t r i n g > < / k e y > < v a l u e > < i n t > 8 8 < / i n t > < / v a l u e > < / i t e m > < i t e m > < k e y > < s t r i n g > e s p e s o r   d   [ m ] < / s t r i n g > < / k e y > < v a l u e > < i n t > 1 2 1 < / i n t > < / v a l u e > < / i t e m > < i t e m > < k e y > < s t r i n g > r e s i s t e n c i a   t � r m i c a   R   [ m � K / W ] < / s t r i n g > < / k e y > < v a l u e > < i n t > 2 2 1 < / i n t > < / v a l u e > < / i t e m > < i t e m > < k e y > < s t r i n g > P e r m e a b i l i d a d   a l   v a p o r   d e   a g u a   �p   [ K g / m s P a ] < / s t r i n g > < / k e y > < v a l u e > < i n t > 3 1 7 < / i n t > < / v a l u e > < / i t e m > < i t e m > < k e y > < s t r i n g > F a c t o r   d e   r e s i s t e n c i a   a l   v a p o r   d e   a g u a ,   �< / s t r i n g > < / k e y > < v a l u e > < i n t > 2 8 1 < / i n t > < / v a l u e > < / i t e m > < / C o l u m n W i d t h s > < C o l u m n D i s p l a y I n d e x > < i t e m > < k e y > < s t r i n g > M a t e r i a l < / s t r i n g > < / k e y > < v a l u e > < i n t > 0 < / i n t > < / v a l u e > < / i t e m > < i t e m > < k e y > < s t r i n g > e s p e s o r   d   [ m ] < / s t r i n g > < / k e y > < v a l u e > < i n t > 1 < / i n t > < / v a l u e > < / i t e m > < i t e m > < k e y > < s t r i n g > r e s i s t e n c i a   t � r m i c a   R   [ m � K / W ] < / s t r i n g > < / k e y > < v a l u e > < i n t > 2 < / i n t > < / v a l u e > < / i t e m > < i t e m > < k e y > < s t r i n g > P e r m e a b i l i d a d   a l   v a p o r   d e   a g u a   �p   [ K g / m s P a ] < / s t r i n g > < / k e y > < v a l u e > < i n t > 3 < / i n t > < / v a l u e > < / i t e m > < i t e m > < k e y > < s t r i n g > F a c t o r   d e   r e s i s t e n c i a   a l   v a p o r   d e   a g u a ,   �< / s t r i n g > < / k e y > < v a l u e > < i n t > 4 < / i n t > < / v a l u e > < / i t e m > < / C o l u m n D i s p l a y I n d e x > < C o l u m n F r o z e n   / > < C o l u m n C h e c k e d   / > < C o l u m n F i l t e r   / > < S e l e c t i o n F i l t e r   / > < F i l t e r P a r a m e t e r s   / > < I s S o r t D e s c e n d i n g > f a l s e < / I s S o r t D e s c e n d i n g > < / T a b l e W i d g e t G r i d S e r i a l i z a t i o n > ] ] > < / C u s t o m C o n t e n t > < / G e m i n i > 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 M a t e r i a l e s 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 M a t e r i a l e s 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 C o l u m n s \ M a t e r i a l < / K e y > < / a : K e y > < a : V a l u e   i : t y p e = " T a b l e W i d g e t B a s e V i e w S t a t e " / > < / a : K e y V a l u e O f D i a g r a m O b j e c t K e y a n y T y p e z b w N T n L X > < a : K e y V a l u e O f D i a g r a m O b j e c t K e y a n y T y p e z b w N T n L X > < a : K e y > < K e y > C o l u m n s \ e s p e s o r   d   [ m ] < / K e y > < / a : K e y > < a : V a l u e   i : t y p e = " T a b l e W i d g e t B a s e V i e w S t a t e " / > < / a : K e y V a l u e O f D i a g r a m O b j e c t K e y a n y T y p e z b w N T n L X > < a : K e y V a l u e O f D i a g r a m O b j e c t K e y a n y T y p e z b w N T n L X > < a : K e y > < K e y > C o l u m n s \ r e s i s t e n c i a   t � r m i c a   R   [ m � K / W ] < / K e y > < / a : K e y > < a : V a l u e   i : t y p e = " T a b l e W i d g e t B a s e V i e w S t a t e " / > < / a : K e y V a l u e O f D i a g r a m O b j e c t K e y a n y T y p e z b w N T n L X > < a : K e y V a l u e O f D i a g r a m O b j e c t K e y a n y T y p e z b w N T n L X > < a : K e y > < K e y > C o l u m n s \ P e r m e a b i l i d a d   a l   v a p o r   d e   a g u a   �p   [ K g / m s P a ] < / K e y > < / a : K e y > < a : V a l u e   i : t y p e = " T a b l e W i d g e t B a s e V i e w S t a t e " / > < / a : K e y V a l u e O f D i a g r a m O b j e c t K e y a n y T y p e z b w N T n L X > < a : K e y V a l u e O f D i a g r a m O b j e c t K e y a n y T y p e z b w N T n L X > < a : K e y > < K e y > C o l u m n s \ F a c t o r   d e   r e s i s t e n c i a   a l   v a p o r   d e   a g u a ,   �< / 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D a t a M a s h u p   s q m i d = " c b 8 1 d 9 8 7 - a b 5 0 - 4 2 1 0 - 8 2 e f - 3 e 3 3 a b 5 d 1 4 a 4 "   x m l n s = " h t t p : / / s c h e m a s . m i c r o s o f t . c o m / D a t a M a s h u p " > A A A A A B Y D A A B Q S w M E F A A C A A g A F r 8 9 T E N q M S 6 m A A A A + A A A A B I A H A B D b 2 5 m a W c v U G F j a 2 F n Z S 5 4 b W w g o h g A K K A U A A A A A A A A A A A A A A A A A A A A A A A A A A A A h Y + 9 D o I w G E V f h X S n L X 8 J m o 8 y s E J i Y m J c m 1 K h E Y q h x f J u D j 6 S r y C J o m 6 O 9 + Q M 5 z 5 u d 8 j n v v O u c j R q 0 B k K M E W e 1 G K o l W 4 y N N m T n 6 K c w Y 6 L M 2 + k t 8 j a b G d T Z 6 i 1 9 r I l x D m H X Y S H s S E h p Q E 5 V u V e t L L n 6 C O r / 7 K v t L F c C 4 k Y H F 4 x L M R J h O N N E u M o D Y C s G C q l v 0 q 4 F G M K 5 A d C M X V 2 G i W T x i 9 K I O s E 8 n 7 B n l B L A w Q U A A I A C A A W v z 1 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F r 8 9 T C i K R 7 g O A A A A E Q A A A B M A H A B G b 3 J t d W x h c y 9 T Z W N 0 a W 9 u M S 5 t I K I Y A C i g F A A A A A A A A A A A A A A A A A A A A A A A A A A A A C t O T S 7 J z M 9 T C I b Q h t Y A U E s B A i 0 A F A A C A A g A F r 8 9 T E N q M S 6 m A A A A + A A A A B I A A A A A A A A A A A A A A A A A A A A A A E N v b m Z p Z y 9 Q Y W N r Y W d l L n h t b F B L A Q I t A B Q A A g A I A B a / P U w P y u m r p A A A A O k A A A A T A A A A A A A A A A A A A A A A A P I A A A B b Q 2 9 u d G V u d F 9 U e X B l c 1 0 u e G 1 s U E s B A i 0 A F A A C A A g A F r 8 9 T 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G u F 7 e / I 0 Z h M r J t L 5 i S E r h k A A A A A A g A A A A A A E G Y A A A A B A A A g A A A A y y F y Q t T n h S 6 1 S F K Q p n m c J a I E m M W W N T B 3 H z W V v p + Z X j 8 A A A A A D o A A A A A C A A A g A A A A o F Q Z L u d T S + p Y A 8 k 9 J j j M Q D I L / R G W G H R / l + e J C X F Z 4 5 B Q A A A A k Y R B w q I G f C v N L L n M N X 4 s w f k r X 0 m j 9 r W h m W m J T 6 u y l l m + 6 Q H I x D 6 v H L x v t 6 i 6 Z G Z c I A G 4 a c T b t I 9 v D 4 H j R K 8 + s m P r I G J i z S a 5 Z d o i U 7 W k G y x A A A A A 7 T X / f U W w q h N y 6 Q V q z d z p 3 Y 1 b i h k p o X Y A a r M c N e M Z X u z Z t 0 s X i 3 X o i 5 4 R + n i O 0 I 8 i I M 5 z s Q z G d M Q X 1 H g k T N o E 9 g = = < / D a t a M a s h u p > 
</file>

<file path=customXml/item7.xml><?xml version="1.0" encoding="utf-8"?>
<ct:contentTypeSchema xmlns:ct="http://schemas.microsoft.com/office/2006/metadata/contentType" xmlns:ma="http://schemas.microsoft.com/office/2006/metadata/properties/metaAttributes" ct:_="" ma:_="" ma:contentTypeName="Documento" ma:contentTypeID="0x01010079781E57EE3776479F00CFB3B8B4EE7E" ma:contentTypeVersion="14" ma:contentTypeDescription="Crear nuevo documento." ma:contentTypeScope="" ma:versionID="da1e4267203da749d950936d349c3893">
  <xsd:schema xmlns:xsd="http://www.w3.org/2001/XMLSchema" xmlns:xs="http://www.w3.org/2001/XMLSchema" xmlns:p="http://schemas.microsoft.com/office/2006/metadata/properties" xmlns:ns3="f99a8142-c8c3-42d1-99c9-e345721dd35b" xmlns:ns4="14c95f5b-5f88-4db2-8f54-557d0624db05" targetNamespace="http://schemas.microsoft.com/office/2006/metadata/properties" ma:root="true" ma:fieldsID="87dd9e75677760c985b0ecd9d962c1ad" ns3:_="" ns4:_="">
    <xsd:import namespace="f99a8142-c8c3-42d1-99c9-e345721dd35b"/>
    <xsd:import namespace="14c95f5b-5f88-4db2-8f54-557d0624db05"/>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9a8142-c8c3-42d1-99c9-e345721dd3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c95f5b-5f88-4db2-8f54-557d0624db05"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AD1CC9-72DA-4B1C-BF5A-0785F231AE4A}">
  <ds:schemaRefs/>
</ds:datastoreItem>
</file>

<file path=customXml/itemProps2.xml><?xml version="1.0" encoding="utf-8"?>
<ds:datastoreItem xmlns:ds="http://schemas.openxmlformats.org/officeDocument/2006/customXml" ds:itemID="{63831788-F335-4319-A739-9E842ED25280}">
  <ds:schemaRefs>
    <ds:schemaRef ds:uri="http://schemas.openxmlformats.org/package/2006/metadata/core-properties"/>
    <ds:schemaRef ds:uri="http://purl.org/dc/elements/1.1/"/>
    <ds:schemaRef ds:uri="http://schemas.microsoft.com/office/2006/metadata/properties"/>
    <ds:schemaRef ds:uri="http://purl.org/dc/terms/"/>
    <ds:schemaRef ds:uri="http://schemas.microsoft.com/office/infopath/2007/PartnerControls"/>
    <ds:schemaRef ds:uri="f99a8142-c8c3-42d1-99c9-e345721dd35b"/>
    <ds:schemaRef ds:uri="http://schemas.microsoft.com/office/2006/documentManagement/types"/>
    <ds:schemaRef ds:uri="14c95f5b-5f88-4db2-8f54-557d0624db05"/>
    <ds:schemaRef ds:uri="http://www.w3.org/XML/1998/namespace"/>
    <ds:schemaRef ds:uri="http://purl.org/dc/dcmitype/"/>
  </ds:schemaRefs>
</ds:datastoreItem>
</file>

<file path=customXml/itemProps3.xml><?xml version="1.0" encoding="utf-8"?>
<ds:datastoreItem xmlns:ds="http://schemas.openxmlformats.org/officeDocument/2006/customXml" ds:itemID="{B44EC370-DDC1-48C5-8393-C60CACEB082A}">
  <ds:schemaRefs>
    <ds:schemaRef ds:uri="http://schemas.microsoft.com/sharepoint/v3/contenttype/forms"/>
  </ds:schemaRefs>
</ds:datastoreItem>
</file>

<file path=customXml/itemProps4.xml><?xml version="1.0" encoding="utf-8"?>
<ds:datastoreItem xmlns:ds="http://schemas.openxmlformats.org/officeDocument/2006/customXml" ds:itemID="{3DD1856D-B32F-4285-A6ED-DEEA40259BE7}">
  <ds:schemaRefs/>
</ds:datastoreItem>
</file>

<file path=customXml/itemProps5.xml><?xml version="1.0" encoding="utf-8"?>
<ds:datastoreItem xmlns:ds="http://schemas.openxmlformats.org/officeDocument/2006/customXml" ds:itemID="{8DA4B7F7-6E1B-4813-BCBA-66FCCA2474AF}">
  <ds:schemaRefs/>
</ds:datastoreItem>
</file>

<file path=customXml/itemProps6.xml><?xml version="1.0" encoding="utf-8"?>
<ds:datastoreItem xmlns:ds="http://schemas.openxmlformats.org/officeDocument/2006/customXml" ds:itemID="{F67857E0-484E-4F6D-AB27-0FAF501E198E}">
  <ds:schemaRefs>
    <ds:schemaRef ds:uri="http://schemas.microsoft.com/DataMashup"/>
  </ds:schemaRefs>
</ds:datastoreItem>
</file>

<file path=customXml/itemProps7.xml><?xml version="1.0" encoding="utf-8"?>
<ds:datastoreItem xmlns:ds="http://schemas.openxmlformats.org/officeDocument/2006/customXml" ds:itemID="{16DC9ED9-740A-449E-9D00-6E7D28C3D7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9a8142-c8c3-42d1-99c9-e345721dd35b"/>
    <ds:schemaRef ds:uri="14c95f5b-5f88-4db2-8f54-557d0624d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181</vt:i4>
      </vt:variant>
    </vt:vector>
  </HeadingPairs>
  <TitlesOfParts>
    <vt:vector size="188" baseType="lpstr">
      <vt:lpstr>INSTRUCCIONES</vt:lpstr>
      <vt:lpstr>MATERIALES</vt:lpstr>
      <vt:lpstr>Seccion1</vt:lpstr>
      <vt:lpstr>Seccion2</vt:lpstr>
      <vt:lpstr>CÁLCULOS</vt:lpstr>
      <vt:lpstr>Aux</vt:lpstr>
      <vt:lpstr>ANEXO CÁLCULOS</vt:lpstr>
      <vt:lpstr>Seccion1!Área_de_impresión</vt:lpstr>
      <vt:lpstr>Seccion2!Área_de_impresión</vt:lpstr>
      <vt:lpstr>CÁLCULOS!Capas_AT1_C1</vt:lpstr>
      <vt:lpstr>CÁLCULOS!Capas_AT1_C2</vt:lpstr>
      <vt:lpstr>CÁLCULOS!Capas_AT2_C1</vt:lpstr>
      <vt:lpstr>CÁLCULOS!Capas_AT2_C2</vt:lpstr>
      <vt:lpstr>CÁLCULOS!Capas_VN_C1</vt:lpstr>
      <vt:lpstr>CÁLCULOS!Capas_VN_C2</vt:lpstr>
      <vt:lpstr>Seccion1!Casilla1</vt:lpstr>
      <vt:lpstr>Seccion2!Casilla1</vt:lpstr>
      <vt:lpstr>CÁLCULOS!Cond._intersticial</vt:lpstr>
      <vt:lpstr>CÁLCULOS!d_AT1_C1</vt:lpstr>
      <vt:lpstr>CÁLCULOS!d_AT1_C2</vt:lpstr>
      <vt:lpstr>CÁLCULOS!d_AT2_C1</vt:lpstr>
      <vt:lpstr>CÁLCULOS!d_AT2_C2</vt:lpstr>
      <vt:lpstr>CÁLCULOS!d_VN_C1</vt:lpstr>
      <vt:lpstr>CÁLCULOS!d_VN_C2</vt:lpstr>
      <vt:lpstr>Seccion1!direccion_flujo_C1</vt:lpstr>
      <vt:lpstr>Seccion2!direccion_flujo_C1</vt:lpstr>
      <vt:lpstr>Seccion1!direccion_flujo_C2</vt:lpstr>
      <vt:lpstr>Seccion2!direccion_flujo_C2</vt:lpstr>
      <vt:lpstr>DISMINUYE</vt:lpstr>
      <vt:lpstr>CÁLCULOS!Espesor_total_AT1_C1</vt:lpstr>
      <vt:lpstr>CÁLCULOS!Espesor_total_AT1_C2</vt:lpstr>
      <vt:lpstr>CÁLCULOS!Espesor_total_AT2_C1</vt:lpstr>
      <vt:lpstr>CÁLCULOS!Espesor_total_AT2_C2</vt:lpstr>
      <vt:lpstr>CÁLCULOS!Espesor_total_VN_C1</vt:lpstr>
      <vt:lpstr>CÁLCULOS!Espesor_total_VN_C2</vt:lpstr>
      <vt:lpstr>frase0</vt:lpstr>
      <vt:lpstr>frase1_1</vt:lpstr>
      <vt:lpstr>frase1_2</vt:lpstr>
      <vt:lpstr>frase1_3</vt:lpstr>
      <vt:lpstr>INTERSTICIAL</vt:lpstr>
      <vt:lpstr>lista_direccion_flujo</vt:lpstr>
      <vt:lpstr>lista_magnitudes_difusion_vp</vt:lpstr>
      <vt:lpstr>lista_Materiales</vt:lpstr>
      <vt:lpstr>Seccion1!lista_Materiales_C1</vt:lpstr>
      <vt:lpstr>Seccion2!lista_Materiales_C1</vt:lpstr>
      <vt:lpstr>Seccion1!lista_Materiales_C2</vt:lpstr>
      <vt:lpstr>Seccion2!lista_Materiales_C2</vt:lpstr>
      <vt:lpstr>lista_origen_materiales</vt:lpstr>
      <vt:lpstr>lista_provincias</vt:lpstr>
      <vt:lpstr>lista_Rsi</vt:lpstr>
      <vt:lpstr>CÁLCULOS!mes</vt:lpstr>
      <vt:lpstr>NO_DISMINUYE</vt:lpstr>
      <vt:lpstr>CÁLCULOS!P_sat_AT1_C1</vt:lpstr>
      <vt:lpstr>CÁLCULOS!P_sat_AT1_C2</vt:lpstr>
      <vt:lpstr>CÁLCULOS!P_sat_AT2_C1</vt:lpstr>
      <vt:lpstr>CÁLCULOS!P_sat_AT2_C2</vt:lpstr>
      <vt:lpstr>CÁLCULOS!P_sat_e_AT1_C1</vt:lpstr>
      <vt:lpstr>CÁLCULOS!P_sat_e_AT1_C2</vt:lpstr>
      <vt:lpstr>CÁLCULOS!P_sat_e_AT2_C1</vt:lpstr>
      <vt:lpstr>CÁLCULOS!P_sat_e_AT2_C2</vt:lpstr>
      <vt:lpstr>CÁLCULOS!P_sat_e_VN_C1</vt:lpstr>
      <vt:lpstr>CÁLCULOS!P_sat_e_VN_C2</vt:lpstr>
      <vt:lpstr>CÁLCULOS!P_sat_i_AT1_C1</vt:lpstr>
      <vt:lpstr>CÁLCULOS!P_sat_i_AT1_C2</vt:lpstr>
      <vt:lpstr>CÁLCULOS!P_sat_i_AT2_C1</vt:lpstr>
      <vt:lpstr>CÁLCULOS!P_sat_i_AT2_C2</vt:lpstr>
      <vt:lpstr>CÁLCULOS!P_sat_i_VN_C1</vt:lpstr>
      <vt:lpstr>CÁLCULOS!P_sat_i_VN_C2</vt:lpstr>
      <vt:lpstr>CÁLCULOS!P_sat_VN_C1</vt:lpstr>
      <vt:lpstr>CÁLCULOS!Pe_H1_C1</vt:lpstr>
      <vt:lpstr>CÁLCULOS!Pe_H1_C2</vt:lpstr>
      <vt:lpstr>CÁLCULOS!Pe_H2_C1</vt:lpstr>
      <vt:lpstr>CÁLCULOS!Pe_H2_C2</vt:lpstr>
      <vt:lpstr>CÁLCULOS!Pe_H3_C1</vt:lpstr>
      <vt:lpstr>CÁLCULOS!Pe_H3_C2</vt:lpstr>
      <vt:lpstr>CÁLCULOS!Pi_HR_1_H1_C1</vt:lpstr>
      <vt:lpstr>CÁLCULOS!Pi_HR_1_H1_C2</vt:lpstr>
      <vt:lpstr>CÁLCULOS!Pi_HR_1_H2_C1</vt:lpstr>
      <vt:lpstr>CÁLCULOS!Pi_HR_1_H2_C2</vt:lpstr>
      <vt:lpstr>CÁLCULOS!Pi_HR_1_H3_C1</vt:lpstr>
      <vt:lpstr>CÁLCULOS!Pi_HR_1_H3_C2</vt:lpstr>
      <vt:lpstr>CÁLCULOS!Pi_HR_2_H1_C1</vt:lpstr>
      <vt:lpstr>CÁLCULOS!Pi_HR_2_H1_C2</vt:lpstr>
      <vt:lpstr>CÁLCULOS!Pi_HR_2_H2_C1</vt:lpstr>
      <vt:lpstr>CÁLCULOS!Pi_HR_2_H2_C2</vt:lpstr>
      <vt:lpstr>CÁLCULOS!Pi_HR_2_H3_C1</vt:lpstr>
      <vt:lpstr>CÁLCULOS!Pi_HR_2_H3_C2</vt:lpstr>
      <vt:lpstr>CÁLCULOS!Pi_HR_3_H1_C1</vt:lpstr>
      <vt:lpstr>CÁLCULOS!Pi_HR_3_H1_C2</vt:lpstr>
      <vt:lpstr>CÁLCULOS!Pi_HR_3_H2_C1</vt:lpstr>
      <vt:lpstr>CÁLCULOS!Pi_HR_3_H2_C2</vt:lpstr>
      <vt:lpstr>CÁLCULOS!Pi_HR_3_H3_C1</vt:lpstr>
      <vt:lpstr>CÁLCULOS!Pi_HR_3_H3_C2</vt:lpstr>
      <vt:lpstr>CÁLCULOS!Pi_HR_4_H1_C1</vt:lpstr>
      <vt:lpstr>CÁLCULOS!Pi_HR_4_H1_C2</vt:lpstr>
      <vt:lpstr>CÁLCULOS!Pi_HR_4_H2_C1</vt:lpstr>
      <vt:lpstr>CÁLCULOS!Pi_HR_4_H2_C2</vt:lpstr>
      <vt:lpstr>CÁLCULOS!Pi_HR_4_H3_C1</vt:lpstr>
      <vt:lpstr>CÁLCULOS!Pi_HR_4_H3_C2</vt:lpstr>
      <vt:lpstr>Seccion1!provincia_C1</vt:lpstr>
      <vt:lpstr>Seccion2!provincia_C1</vt:lpstr>
      <vt:lpstr>Seccion1!provincia_C2</vt:lpstr>
      <vt:lpstr>Seccion2!provincia_C2</vt:lpstr>
      <vt:lpstr>CÁLCULOS!R_H1_C1</vt:lpstr>
      <vt:lpstr>CÁLCULOS!R_H1_C2</vt:lpstr>
      <vt:lpstr>CÁLCULOS!R_H2_C1</vt:lpstr>
      <vt:lpstr>CÁLCULOS!R_H2_C2</vt:lpstr>
      <vt:lpstr>CÁLCULOS!R_H3_C1</vt:lpstr>
      <vt:lpstr>CÁLCULOS!Rn_H1_C1</vt:lpstr>
      <vt:lpstr>CÁLCULOS!Rn_H1_C2</vt:lpstr>
      <vt:lpstr>CÁLCULOS!Rn_H2_C1</vt:lpstr>
      <vt:lpstr>CÁLCULOS!Rn_H2_C2</vt:lpstr>
      <vt:lpstr>CÁLCULOS!Rn_H3_C1</vt:lpstr>
      <vt:lpstr>CÁLCULOS!Rn_H3_C2</vt:lpstr>
      <vt:lpstr>Rse</vt:lpstr>
      <vt:lpstr>CÁLCULOS!Rse_H1</vt:lpstr>
      <vt:lpstr>CÁLCULOS!Rse_H2</vt:lpstr>
      <vt:lpstr>CÁLCULOS!Rse_H3</vt:lpstr>
      <vt:lpstr>CÁLCULOS!Rsi_H1</vt:lpstr>
      <vt:lpstr>CÁLCULOS!Rsi_H2</vt:lpstr>
      <vt:lpstr>CÁLCULOS!Rsi_H3</vt:lpstr>
      <vt:lpstr>Rsi_opaco</vt:lpstr>
      <vt:lpstr>Rsi_ventana_puerta</vt:lpstr>
      <vt:lpstr>CÁLCULOS!RT_H1_C1</vt:lpstr>
      <vt:lpstr>CÁLCULOS!RT_H1_C2</vt:lpstr>
      <vt:lpstr>CÁLCULOS!RT_H2_C1</vt:lpstr>
      <vt:lpstr>CÁLCULOS!RT_H2_C2</vt:lpstr>
      <vt:lpstr>CÁLCULOS!RT_H3_C1</vt:lpstr>
      <vt:lpstr>CÁLCULOS!RT_H3_C2</vt:lpstr>
      <vt:lpstr>Rv</vt:lpstr>
      <vt:lpstr>CÁLCULOS!S_d_H1_C1</vt:lpstr>
      <vt:lpstr>CÁLCULOS!S_d_H2_C1</vt:lpstr>
      <vt:lpstr>CÁLCULOS!S_d_H2_C2</vt:lpstr>
      <vt:lpstr>CÁLCULOS!S_d_H3_C1</vt:lpstr>
      <vt:lpstr>CÁLCULOS!Sd_T_H1_C1</vt:lpstr>
      <vt:lpstr>CÁLCULOS!Sd_T_H1_C2</vt:lpstr>
      <vt:lpstr>CÁLCULOS!Sd_T_H2_C1</vt:lpstr>
      <vt:lpstr>CÁLCULOS!Sd_T_H2_C2</vt:lpstr>
      <vt:lpstr>CÁLCULOS!Sd_T_H3_C1</vt:lpstr>
      <vt:lpstr>CÁLCULOS!Sd_T_H3_C2</vt:lpstr>
      <vt:lpstr>SUPERFICIAL</vt:lpstr>
      <vt:lpstr>tipo_elemento</vt:lpstr>
      <vt:lpstr>CÁLCULOS!verif_aire_H1_C1</vt:lpstr>
      <vt:lpstr>CÁLCULOS!verif_aire_H1_C2</vt:lpstr>
      <vt:lpstr>CÁLCULOS!verif_aire_H2_C1</vt:lpstr>
      <vt:lpstr>CÁLCULOS!verif_aire_H2_C2</vt:lpstr>
      <vt:lpstr>CÁLCULOS!verif_aire_H3_C1</vt:lpstr>
      <vt:lpstr>CÁLCULOS!verif_aire_H3_C2</vt:lpstr>
      <vt:lpstr>δ_0</vt:lpstr>
      <vt:lpstr>CÁLCULOS!ϴe_H1_C1</vt:lpstr>
      <vt:lpstr>CÁLCULOS!ϴe_H1_C2</vt:lpstr>
      <vt:lpstr>CÁLCULOS!ϴe_H2_C1</vt:lpstr>
      <vt:lpstr>CÁLCULOS!ϴe_H2_C2</vt:lpstr>
      <vt:lpstr>CÁLCULOS!ϴe_H3_C1</vt:lpstr>
      <vt:lpstr>CÁLCULOS!ϴe_H3_C2</vt:lpstr>
      <vt:lpstr>CÁLCULOS!ϴi_H1_C1</vt:lpstr>
      <vt:lpstr>CÁLCULOS!ϴi_H1_C2</vt:lpstr>
      <vt:lpstr>CÁLCULOS!ϴi_H2_C1</vt:lpstr>
      <vt:lpstr>CÁLCULOS!ϴi_H2_C2</vt:lpstr>
      <vt:lpstr>Seccion1!ϴi_H2_C2</vt:lpstr>
      <vt:lpstr>Seccion2!ϴi_H2_C2</vt:lpstr>
      <vt:lpstr>CÁLCULOS!ϴn_H1_C1</vt:lpstr>
      <vt:lpstr>CÁLCULOS!ϴn_H1_C2</vt:lpstr>
      <vt:lpstr>CÁLCULOS!ϴn_H2_C1</vt:lpstr>
      <vt:lpstr>CÁLCULOS!ϴn_H2_C2</vt:lpstr>
      <vt:lpstr>CÁLCULOS!ϴn_H3_C1</vt:lpstr>
      <vt:lpstr>CÁLCULOS!ϴn_H3_C2</vt:lpstr>
      <vt:lpstr>CÁLCULOS!μ_H1_C1</vt:lpstr>
      <vt:lpstr>CÁLCULOS!μ_H1_C2</vt:lpstr>
      <vt:lpstr>CÁLCULOS!μ_H2_C1</vt:lpstr>
      <vt:lpstr>CÁLCULOS!μ_H2_C2</vt:lpstr>
      <vt:lpstr>CÁLCULOS!μ_H3_C1</vt:lpstr>
      <vt:lpstr>CÁLCULOS!μ_H3_C2</vt:lpstr>
      <vt:lpstr>μ_inf</vt:lpstr>
      <vt:lpstr>CÁLCULOS!φe_H1_C1</vt:lpstr>
      <vt:lpstr>CÁLCULOS!φe_H1_C2</vt:lpstr>
      <vt:lpstr>CÁLCULOS!φe_H2_C1</vt:lpstr>
      <vt:lpstr>CÁLCULOS!φe_H2_C2</vt:lpstr>
      <vt:lpstr>CÁLCULOS!φe_H3_C1</vt:lpstr>
      <vt:lpstr>CÁLCULOS!φe_H3_C2</vt:lpstr>
      <vt:lpstr>Seccion1!φi_C1</vt:lpstr>
      <vt:lpstr>Seccion2!φi_C1</vt:lpstr>
      <vt:lpstr>Seccion1!φi_C2</vt:lpstr>
      <vt:lpstr>Seccion2!φi_C2</vt:lpstr>
      <vt:lpstr>Seccion1!φsicr_C1</vt:lpstr>
      <vt:lpstr>Seccion2!φsicr_C1</vt:lpstr>
      <vt:lpstr>Seccion1!φsicr_C2</vt:lpstr>
      <vt:lpstr>Seccion2!φsicr_C2</vt:lpstr>
    </vt:vector>
  </TitlesOfParts>
  <Company>Ministerio de Vivienda Y Urbanismo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Xavier Irazoqui Oyarzabal</dc:creator>
  <cp:lastModifiedBy>Jeanette Matus Geeregat</cp:lastModifiedBy>
  <cp:lastPrinted>2018-08-20T18:15:11Z</cp:lastPrinted>
  <dcterms:created xsi:type="dcterms:W3CDTF">2018-01-18T13:19:56Z</dcterms:created>
  <dcterms:modified xsi:type="dcterms:W3CDTF">2024-10-18T20:07:13Z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0x01010079781E57EE3776479F00CFB3B8B4EE7E</vt:lpwstr>
  </property>
</Properties>
</file>